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21" i="1" l="1"/>
  <c r="M10" i="1"/>
  <c r="M12" i="1"/>
  <c r="M13" i="1"/>
  <c r="M17" i="1"/>
  <c r="M9" i="1"/>
  <c r="L20" i="1"/>
  <c r="L21" i="1"/>
  <c r="L13" i="1"/>
  <c r="L17" i="1"/>
  <c r="L9" i="1"/>
  <c r="K20" i="1"/>
  <c r="K21" i="1"/>
  <c r="K12" i="1"/>
  <c r="K13" i="1"/>
  <c r="K17" i="1"/>
  <c r="K9" i="1"/>
  <c r="L36" i="1" l="1"/>
  <c r="M29" i="1" l="1"/>
  <c r="L29" i="1"/>
  <c r="K29" i="1"/>
  <c r="K36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L33" i="1" l="1"/>
  <c r="M33" i="1"/>
  <c r="K33" i="1"/>
  <c r="K28" i="1"/>
  <c r="L28" i="1"/>
  <c r="M28" i="1"/>
  <c r="K25" i="1"/>
  <c r="L25" i="1"/>
  <c r="M25" i="1"/>
  <c r="K24" i="1"/>
  <c r="L24" i="1"/>
  <c r="M24" i="1"/>
  <c r="J20" i="1" l="1"/>
  <c r="J21" i="1"/>
  <c r="J12" i="1"/>
  <c r="J13" i="1"/>
  <c r="J17" i="1"/>
  <c r="J9" i="1"/>
  <c r="I18" i="1"/>
  <c r="I21" i="1"/>
  <c r="I12" i="1"/>
  <c r="I13" i="1"/>
  <c r="I17" i="1"/>
  <c r="I9" i="1"/>
  <c r="H18" i="1"/>
  <c r="H21" i="1"/>
  <c r="H10" i="1"/>
  <c r="H13" i="1"/>
  <c r="H17" i="1"/>
  <c r="H9" i="1"/>
  <c r="I29" i="1" l="1"/>
  <c r="I36" i="1" l="1"/>
  <c r="H33" i="1" l="1"/>
  <c r="I33" i="1"/>
  <c r="J33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6" i="1" l="1"/>
  <c r="G18" i="1" l="1"/>
  <c r="G20" i="1"/>
  <c r="G21" i="1"/>
  <c r="G10" i="1"/>
  <c r="G13" i="1"/>
  <c r="G17" i="1"/>
  <c r="G9" i="1"/>
  <c r="F18" i="1"/>
  <c r="F20" i="1"/>
  <c r="F21" i="1"/>
  <c r="F10" i="1"/>
  <c r="F12" i="1"/>
  <c r="F13" i="1"/>
  <c r="F17" i="1"/>
  <c r="F9" i="1"/>
  <c r="E18" i="1"/>
  <c r="E20" i="1"/>
  <c r="E21" i="1"/>
  <c r="E10" i="1"/>
  <c r="E12" i="1"/>
  <c r="E13" i="1"/>
  <c r="E17" i="1"/>
  <c r="E9" i="1"/>
  <c r="F36" i="1" l="1"/>
  <c r="G29" i="1" l="1"/>
  <c r="F29" i="1"/>
  <c r="E29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6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18" i="1" l="1"/>
  <c r="D20" i="1"/>
  <c r="D21" i="1"/>
  <c r="D10" i="1"/>
  <c r="D12" i="1"/>
  <c r="D13" i="1"/>
  <c r="D9" i="1"/>
  <c r="C18" i="1"/>
  <c r="C20" i="1"/>
  <c r="C21" i="1"/>
  <c r="C10" i="1"/>
  <c r="C12" i="1"/>
  <c r="C13" i="1"/>
  <c r="C17" i="1"/>
  <c r="C9" i="1"/>
  <c r="B18" i="1"/>
  <c r="B21" i="1"/>
  <c r="B10" i="1"/>
  <c r="B12" i="1"/>
  <c r="B13" i="1"/>
  <c r="B9" i="1"/>
  <c r="D36" i="1" l="1"/>
  <c r="D29" i="1" l="1"/>
  <c r="C29" i="1"/>
  <c r="B29" i="1"/>
  <c r="D27" i="1" l="1"/>
  <c r="D16" i="1"/>
  <c r="D26" i="1"/>
  <c r="D8" i="1"/>
  <c r="C27" i="1" l="1"/>
  <c r="C16" i="1"/>
  <c r="C26" i="1"/>
  <c r="C8" i="1"/>
  <c r="B36" i="1" l="1"/>
  <c r="B27" i="1" l="1"/>
  <c r="B16" i="1"/>
  <c r="B26" i="1" l="1"/>
  <c r="B8" i="1"/>
  <c r="C33" i="1" l="1"/>
  <c r="D33" i="1"/>
  <c r="C28" i="1"/>
  <c r="D28" i="1"/>
  <c r="C25" i="1"/>
  <c r="D25" i="1"/>
  <c r="C24" i="1"/>
  <c r="D24" i="1"/>
  <c r="B33" i="1"/>
  <c r="B28" i="1"/>
  <c r="B25" i="1"/>
  <c r="B24" i="1"/>
  <c r="N6" i="1" l="1"/>
  <c r="N5" i="1"/>
  <c r="N22" i="1"/>
  <c r="N17" i="1"/>
  <c r="N14" i="1"/>
  <c r="N9" i="1"/>
  <c r="M7" i="1" l="1"/>
  <c r="L7" i="1"/>
  <c r="K15" i="1"/>
  <c r="K7" i="1"/>
  <c r="N24" i="1"/>
  <c r="N25" i="1"/>
  <c r="N28" i="1"/>
  <c r="N29" i="1"/>
  <c r="N30" i="1"/>
  <c r="N31" i="1"/>
  <c r="N32" i="1"/>
  <c r="N33" i="1"/>
  <c r="N34" i="1"/>
  <c r="N35" i="1"/>
  <c r="L15" i="1"/>
  <c r="M15" i="1"/>
  <c r="N11" i="1"/>
  <c r="N12" i="1"/>
  <c r="N10" i="1"/>
  <c r="M37" i="1" l="1"/>
  <c r="M38" i="1" s="1"/>
  <c r="L37" i="1"/>
  <c r="L38" i="1" s="1"/>
  <c r="K37" i="1"/>
  <c r="K38" i="1" s="1"/>
  <c r="N13" i="1"/>
  <c r="I15" i="1" l="1"/>
  <c r="H15" i="1"/>
  <c r="J15" i="1" l="1"/>
  <c r="H7" i="1"/>
  <c r="I7" i="1"/>
  <c r="J7" i="1"/>
  <c r="N36" i="1"/>
  <c r="N27" i="1"/>
  <c r="G7" i="1"/>
  <c r="F7" i="1"/>
  <c r="N21" i="1"/>
  <c r="N20" i="1"/>
  <c r="D15" i="1"/>
  <c r="D7" i="1"/>
  <c r="C15" i="1"/>
  <c r="C7" i="1"/>
  <c r="B15" i="1"/>
  <c r="B7" i="1"/>
  <c r="J37" i="1" l="1"/>
  <c r="J38" i="1" s="1"/>
  <c r="D37" i="1"/>
  <c r="D38" i="1" s="1"/>
  <c r="C37" i="1"/>
  <c r="C38" i="1" s="1"/>
  <c r="N18" i="1"/>
  <c r="N16" i="1"/>
  <c r="E7" i="1"/>
  <c r="N7" i="1" s="1"/>
  <c r="N8" i="1"/>
  <c r="N19" i="1"/>
  <c r="G15" i="1"/>
  <c r="N26" i="1"/>
  <c r="F15" i="1"/>
  <c r="I37" i="1"/>
  <c r="I38" i="1" s="1"/>
  <c r="H37" i="1"/>
  <c r="E15" i="1"/>
  <c r="B40" i="1"/>
  <c r="C6" i="1" s="1"/>
  <c r="C40" i="1" s="1"/>
  <c r="D6" i="1" s="1"/>
  <c r="D40" i="1" s="1"/>
  <c r="G37" i="1" l="1"/>
  <c r="G38" i="1" s="1"/>
  <c r="E6" i="1"/>
  <c r="E40" i="1" s="1"/>
  <c r="F6" i="1" s="1"/>
  <c r="F40" i="1" s="1"/>
  <c r="G6" i="1" s="1"/>
  <c r="N15" i="1"/>
  <c r="H38" i="1"/>
  <c r="F37" i="1"/>
  <c r="F38" i="1" s="1"/>
  <c r="B37" i="1"/>
  <c r="B38" i="1" s="1"/>
  <c r="B39" i="1" s="1"/>
  <c r="G40" i="1" l="1"/>
  <c r="H6" i="1" s="1"/>
  <c r="H40" i="1" s="1"/>
  <c r="I6" i="1" s="1"/>
  <c r="I40" i="1" s="1"/>
  <c r="J6" i="1" s="1"/>
  <c r="C5" i="1"/>
  <c r="C39" i="1"/>
  <c r="D39" i="1" s="1"/>
  <c r="E37" i="1"/>
  <c r="N37" i="1" s="1"/>
  <c r="N40" i="1"/>
  <c r="N42" i="1" s="1"/>
  <c r="J40" i="1" l="1"/>
  <c r="K6" i="1" s="1"/>
  <c r="K40" i="1" s="1"/>
  <c r="L6" i="1" s="1"/>
  <c r="L40" i="1" s="1"/>
  <c r="M6" i="1" s="1"/>
  <c r="M40" i="1" s="1"/>
  <c r="E5" i="1"/>
  <c r="D5" i="1"/>
  <c r="E38" i="1"/>
  <c r="N38" i="1"/>
  <c r="N39" i="1" s="1"/>
  <c r="E39" i="1" l="1"/>
  <c r="F39" i="1" s="1"/>
  <c r="G39" i="1" s="1"/>
  <c r="G5" i="1" l="1"/>
  <c r="F5" i="1"/>
  <c r="H5" i="1"/>
  <c r="H39" i="1"/>
  <c r="I39" i="1" l="1"/>
  <c r="J39" i="1" s="1"/>
  <c r="I5" i="1"/>
  <c r="J5" i="1" l="1"/>
  <c r="K5" i="1" l="1"/>
  <c r="K39" i="1"/>
  <c r="L5" i="1" l="1"/>
  <c r="L39" i="1"/>
  <c r="M5" i="1" l="1"/>
  <c r="M39" i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<sst xmlns="http://schemas.openxmlformats.org/spreadsheetml/2006/main" count="53" uniqueCount="45">
  <si>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</si>
  <si>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</si>
  <si>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</si>
  <si>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</si>
  <si>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</si>
  <si>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</si>
  <si>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</si>
  <si>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</si>
  <si>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</si>
  <si>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</si>
  <si>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</si>
  <si>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</si>
  <si>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</si>
  <si>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</si>
  <si>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</si>
  <si>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</si>
  <si>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</si>
  <si>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</si>
  <si>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</si>
  <si>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</si>
  <si>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</si>
  <si>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</si>
  <si>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</si>
  <si>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</si>
  <si>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</si>
  <si>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</si>
  <si>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</si>
  <si>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</si>
  <si>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Корректировка задолженности по решению Арбитражного суда за предыдущие периоды</t>
  </si>
  <si>
    <t>Содержание жилья и текущий ремонт,  ОПУ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</si>
  <si>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</si>
  <si>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</si>
  <si>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</si>
  <si>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</si>
  <si>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</si>
  <si>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</si>
  <si>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</si>
  <si>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</si>
  <si>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</si>
  <si>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</si>
  <si>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</si>
  <si>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</si>
  <si>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</si>
  <si>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</t>
  </si>
  <si>
    <t xml:space="preserve">                 ОТЧЕТ по дому Васильева, 65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</si>
</sst>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[$-419]mmmm\ yyyy;@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5" fontId="7" fillId="0" borderId="2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4" width="15.109375" customWidth="1"/>
    <col min="5" max="5" width="15.44140625" customWidth="1"/>
    <col min="6" max="7" width="13.6640625" customWidth="1"/>
    <col min="8" max="8" width="14.109375" customWidth="1"/>
    <col min="9" max="9" width="13.88671875" customWidth="1"/>
    <col min="10" max="13" width="14.109375" customWidth="1"/>
    <col min="14" max="14" width="16.33203125" customWidth="1"/>
  </cols>
  <sheetData>
    <row r="1" spans="1:18" ht="20.25" customHeight="1" x14ac:dyDescent="0.35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21" t="s">
        <v>40</v>
      </c>
      <c r="L4" s="21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-554961.71</v>
      </c>
      <c r="C5" s="8">
        <f t="shared" ref="C5:D6" si="0">B39</f>
        <v>-563155.47505999997</v>
      </c>
      <c r="D5" s="8">
        <f t="shared" si="0"/>
        <v>-555412.41339</v>
      </c>
      <c r="E5" s="8">
        <f t="shared" ref="E5:J6" si="1">D39</f>
        <v>-536152.14012999996</v>
      </c>
      <c r="F5" s="8">
        <f t="shared" si="1"/>
        <v>-550542.44149999996</v>
      </c>
      <c r="G5" s="8">
        <f t="shared" si="1"/>
        <v>-590995.83364999993</v>
      </c>
      <c r="H5" s="8">
        <f t="shared" si="1"/>
        <v>-594867.45679999993</v>
      </c>
      <c r="I5" s="8">
        <f t="shared" si="1"/>
        <v>-599658.64923999994</v>
      </c>
      <c r="J5" s="8">
        <f t="shared" si="1"/>
        <v>-597717.09858999995</v>
      </c>
      <c r="K5" s="8">
        <f t="shared" ref="K5:K6" si="2">J39</f>
        <v>-595642.35519999999</v>
      </c>
      <c r="L5" s="8">
        <f t="shared" ref="L5:L6" si="3">K39</f>
        <v>-593382.70476999995</v>
      </c>
      <c r="M5" s="8">
        <f t="shared" ref="M5:M6" si="4">L39</f>
        <v>-563303.89269000001</v>
      </c>
      <c r="N5" s="8">
        <f>B5</f>
        <v>-554961.71</v>
      </c>
    </row>
    <row r="6" spans="1:18" ht="21" customHeight="1" thickBot="1" x14ac:dyDescent="0.3">
      <c r="A6" s="7" t="s">
        <v>13</v>
      </c>
      <c r="B6" s="8">
        <v>-209162.05</v>
      </c>
      <c r="C6" s="8">
        <f t="shared" si="0"/>
        <v>-216036.03</v>
      </c>
      <c r="D6" s="8">
        <f t="shared" si="0"/>
        <v>-234075.63999999998</v>
      </c>
      <c r="E6" s="8">
        <f t="shared" si="1"/>
        <v>-225942.58</v>
      </c>
      <c r="F6" s="8">
        <f t="shared" si="1"/>
        <v>-234984.02</v>
      </c>
      <c r="G6" s="8">
        <f t="shared" si="1"/>
        <v>-185398.68</v>
      </c>
      <c r="H6" s="8">
        <f t="shared" si="1"/>
        <v>-187914.02999999997</v>
      </c>
      <c r="I6" s="8">
        <f t="shared" si="1"/>
        <v>-197268.51999999996</v>
      </c>
      <c r="J6" s="8">
        <f t="shared" si="1"/>
        <v>-206162.34999999995</v>
      </c>
      <c r="K6" s="8">
        <f t="shared" si="2"/>
        <v>-217102.06999999995</v>
      </c>
      <c r="L6" s="8">
        <f t="shared" si="3"/>
        <v>-228305.32999999996</v>
      </c>
      <c r="M6" s="8">
        <f t="shared" si="4"/>
        <v>-192750.74999999994</v>
      </c>
      <c r="N6" s="8">
        <f>B6</f>
        <v>-209162.05</v>
      </c>
    </row>
    <row r="7" spans="1:18" ht="20.25" customHeight="1" thickBot="1" x14ac:dyDescent="0.3">
      <c r="A7" s="9" t="s">
        <v>12</v>
      </c>
      <c r="B7" s="10">
        <f t="shared" ref="B7:G7" si="5">SUM(B8:B14)</f>
        <v>57117.41</v>
      </c>
      <c r="C7" s="10">
        <f t="shared" si="5"/>
        <v>71012.549999999988</v>
      </c>
      <c r="D7" s="10">
        <f t="shared" si="5"/>
        <v>57952.04</v>
      </c>
      <c r="E7" s="10">
        <f t="shared" si="5"/>
        <v>58503.22</v>
      </c>
      <c r="F7" s="10">
        <f t="shared" si="5"/>
        <v>57128.79</v>
      </c>
      <c r="G7" s="10">
        <f t="shared" si="5"/>
        <v>53981.2</v>
      </c>
      <c r="H7" s="10">
        <f t="shared" ref="H7" si="6">SUM(H8:H14)</f>
        <v>53003.75</v>
      </c>
      <c r="I7" s="10">
        <f t="shared" ref="I7" si="7">SUM(I8:I14)</f>
        <v>52928.18</v>
      </c>
      <c r="J7" s="10">
        <f t="shared" ref="J7:M7" si="8">SUM(J8:J14)</f>
        <v>54729.13</v>
      </c>
      <c r="K7" s="10">
        <f>SUM(K8:K14)</f>
        <v>57234.99</v>
      </c>
      <c r="L7" s="10">
        <f t="shared" si="8"/>
        <v>54200.74</v>
      </c>
      <c r="M7" s="10">
        <f t="shared" si="8"/>
        <v>63258.53</v>
      </c>
      <c r="N7" s="10">
        <f>SUM(B7:M7)</f>
        <v>691050.53</v>
      </c>
    </row>
    <row r="8" spans="1:18" ht="24.75" customHeight="1" thickBot="1" x14ac:dyDescent="0.3">
      <c r="A8" s="4" t="s">
        <v>29</v>
      </c>
      <c r="B8" s="11">
        <f>44360.6+1208.37</f>
        <v>45568.97</v>
      </c>
      <c r="C8" s="11">
        <f>44360.6+1208.37</f>
        <v>45568.97</v>
      </c>
      <c r="D8" s="11">
        <f>44360.6+1208.37</f>
        <v>45568.97</v>
      </c>
      <c r="E8" s="11">
        <f>44360.6+1208.37</f>
        <v>45568.97</v>
      </c>
      <c r="F8" s="11">
        <f>44360.6+1208.37</f>
        <v>45568.97</v>
      </c>
      <c r="G8" s="11">
        <f>44353.29+1208.15</f>
        <v>45561.440000000002</v>
      </c>
      <c r="H8" s="11">
        <f>44353.29+1208.15</f>
        <v>45561.440000000002</v>
      </c>
      <c r="I8" s="11">
        <f>44353.29+1208.15</f>
        <v>45561.440000000002</v>
      </c>
      <c r="J8" s="11">
        <f>44353.29+1208.15</f>
        <v>45561.440000000002</v>
      </c>
      <c r="K8" s="11">
        <f>46438.89+1208.15</f>
        <v>47647.040000000001</v>
      </c>
      <c r="L8" s="11">
        <f>46438.89+1208.15</f>
        <v>47647.040000000001</v>
      </c>
      <c r="M8" s="11">
        <f>46438.89+1208.15</f>
        <v>47647.040000000001</v>
      </c>
      <c r="N8" s="11">
        <f>SUM(B8:M8)</f>
        <v>553031.73</v>
      </c>
    </row>
    <row r="9" spans="1:18" ht="22.95" customHeight="1" thickBot="1" x14ac:dyDescent="0.3">
      <c r="A9" s="4" t="s">
        <v>17</v>
      </c>
      <c r="B9" s="11">
        <f>1642.44+2642.91</f>
        <v>4285.3500000000004</v>
      </c>
      <c r="C9" s="11">
        <f>1642.44+2642.91</f>
        <v>4285.3500000000004</v>
      </c>
      <c r="D9" s="11">
        <f>1642.44+2642.91</f>
        <v>4285.3500000000004</v>
      </c>
      <c r="E9" s="11">
        <f>2642.91+1642.44</f>
        <v>4285.3500000000004</v>
      </c>
      <c r="F9" s="11">
        <f>2642.91+1642.44</f>
        <v>4285.3500000000004</v>
      </c>
      <c r="G9" s="11">
        <f>2642.91+1642.44</f>
        <v>4285.3500000000004</v>
      </c>
      <c r="H9" s="11">
        <f>1642.44+2642.91</f>
        <v>4285.3500000000004</v>
      </c>
      <c r="I9" s="11">
        <f>1642.44+2642.91</f>
        <v>4285.3500000000004</v>
      </c>
      <c r="J9" s="11">
        <f>1642.44+2642.91</f>
        <v>4285.3500000000004</v>
      </c>
      <c r="K9" s="11">
        <f>2767.18+1719.67</f>
        <v>4486.8500000000004</v>
      </c>
      <c r="L9" s="11">
        <f>2767.18+1719.67</f>
        <v>4486.8500000000004</v>
      </c>
      <c r="M9" s="11">
        <f>2767.18+1719.67</f>
        <v>4486.8500000000004</v>
      </c>
      <c r="N9" s="11">
        <f>SUM(B9:M9)</f>
        <v>52028.69999999999</v>
      </c>
    </row>
    <row r="10" spans="1:18" ht="24.75" customHeight="1" thickBot="1" x14ac:dyDescent="0.3">
      <c r="A10" s="4" t="s">
        <v>18</v>
      </c>
      <c r="B10" s="11">
        <f>1939.56+71.84+115.6</f>
        <v>2127</v>
      </c>
      <c r="C10" s="11">
        <f>10565.51+390.63+628.58</f>
        <v>11584.72</v>
      </c>
      <c r="D10" s="11">
        <f>4573.48+169.72+273.11</f>
        <v>5016.3099999999995</v>
      </c>
      <c r="E10" s="11">
        <f>1361.81+80.92+50.29</f>
        <v>1493.02</v>
      </c>
      <c r="F10" s="11">
        <f>4334.41+258.66+160.74</f>
        <v>4753.8099999999995</v>
      </c>
      <c r="G10" s="11">
        <f>1884.81+112.71+70.04</f>
        <v>2067.56</v>
      </c>
      <c r="H10" s="11">
        <f>994.04+36.82+59.25</f>
        <v>1090.1099999999999</v>
      </c>
      <c r="I10" s="11">
        <v>0</v>
      </c>
      <c r="J10" s="11">
        <v>0</v>
      </c>
      <c r="K10" s="11">
        <v>0</v>
      </c>
      <c r="L10" s="11">
        <v>0</v>
      </c>
      <c r="M10" s="11">
        <f>7026.38+419.05+260.42</f>
        <v>7705.85</v>
      </c>
      <c r="N10" s="11">
        <f>SUM(B10:M10)</f>
        <v>35838.380000000005</v>
      </c>
    </row>
    <row r="11" spans="1:18" ht="24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ref="N11" si="9">SUM(B11:M11)</f>
        <v>0</v>
      </c>
    </row>
    <row r="12" spans="1:18" ht="24.75" customHeight="1" thickBot="1" x14ac:dyDescent="0.3">
      <c r="A12" s="4" t="s">
        <v>20</v>
      </c>
      <c r="B12" s="11">
        <f>2799.74+103.27+166.18</f>
        <v>3069.1899999999996</v>
      </c>
      <c r="C12" s="11">
        <f>6845.88+253.24+407.49</f>
        <v>7506.61</v>
      </c>
      <c r="D12" s="11">
        <f>925.48+34.12+54.91</f>
        <v>1014.51</v>
      </c>
      <c r="E12" s="11">
        <f>4641.46+276+171.52</f>
        <v>5088.9800000000005</v>
      </c>
      <c r="F12" s="11">
        <f>413.92+24.57+15.27</f>
        <v>453.76</v>
      </c>
      <c r="G12" s="11">
        <v>0</v>
      </c>
      <c r="H12" s="11">
        <v>0</v>
      </c>
      <c r="I12" s="11">
        <f>925.51+34.12+54.91</f>
        <v>1014.54</v>
      </c>
      <c r="J12" s="11">
        <f>2567.13+95.19+153.17</f>
        <v>2815.4900000000002</v>
      </c>
      <c r="K12" s="11">
        <f>2767.15+164.73+102.37</f>
        <v>3034.25</v>
      </c>
      <c r="L12" s="11">
        <v>0</v>
      </c>
      <c r="M12" s="11">
        <f>1232.44+73.7+45.8</f>
        <v>1351.94</v>
      </c>
      <c r="N12" s="11">
        <f t="shared" ref="N12:N22" si="10">SUM(B12:M12)</f>
        <v>25349.27</v>
      </c>
    </row>
    <row r="13" spans="1:18" ht="24.75" customHeight="1" thickBot="1" x14ac:dyDescent="0.3">
      <c r="A13" s="4" t="s">
        <v>27</v>
      </c>
      <c r="B13" s="11">
        <f>361.75+13.47+21.68</f>
        <v>396.90000000000003</v>
      </c>
      <c r="C13" s="11">
        <f>361.75+13.47+21.68</f>
        <v>396.90000000000003</v>
      </c>
      <c r="D13" s="11">
        <f>361.75+13.47+21.68</f>
        <v>396.90000000000003</v>
      </c>
      <c r="E13" s="11">
        <f>361.75+21.68+13.47</f>
        <v>396.90000000000003</v>
      </c>
      <c r="F13" s="11">
        <f>361.75+21.68+13.47</f>
        <v>396.90000000000003</v>
      </c>
      <c r="G13" s="11">
        <f>361.7+21.68+13.47</f>
        <v>396.85</v>
      </c>
      <c r="H13" s="11">
        <f>361.7+13.47+21.68</f>
        <v>396.85</v>
      </c>
      <c r="I13" s="11">
        <f>361.7+13.47+21.68</f>
        <v>396.85</v>
      </c>
      <c r="J13" s="11">
        <f>361.7+13.47+21.68</f>
        <v>396.85</v>
      </c>
      <c r="K13" s="11">
        <f>361.7+21.68+13.47</f>
        <v>396.85</v>
      </c>
      <c r="L13" s="11">
        <f>361.7+21.68+13.47</f>
        <v>396.85</v>
      </c>
      <c r="M13" s="11">
        <f>361.7+21.68+13.47</f>
        <v>396.85</v>
      </c>
      <c r="N13" s="11">
        <f t="shared" si="10"/>
        <v>4762.4500000000007</v>
      </c>
    </row>
    <row r="14" spans="1:18" ht="24.75" customHeight="1" thickBot="1" x14ac:dyDescent="0.3">
      <c r="A14" s="4" t="s">
        <v>15</v>
      </c>
      <c r="B14" s="11">
        <v>1670</v>
      </c>
      <c r="C14" s="11">
        <v>1670</v>
      </c>
      <c r="D14" s="11">
        <v>1670</v>
      </c>
      <c r="E14" s="11">
        <v>1670</v>
      </c>
      <c r="F14" s="11">
        <v>1670</v>
      </c>
      <c r="G14" s="11">
        <v>1670</v>
      </c>
      <c r="H14" s="11">
        <v>1670</v>
      </c>
      <c r="I14" s="11">
        <v>1670</v>
      </c>
      <c r="J14" s="11">
        <v>1670</v>
      </c>
      <c r="K14" s="11">
        <v>1670</v>
      </c>
      <c r="L14" s="11">
        <v>1670</v>
      </c>
      <c r="M14" s="11">
        <v>1670</v>
      </c>
      <c r="N14" s="11">
        <f t="shared" si="10"/>
        <v>20040</v>
      </c>
    </row>
    <row r="15" spans="1:18" ht="20.25" customHeight="1" thickBot="1" x14ac:dyDescent="0.3">
      <c r="A15" s="12" t="s">
        <v>8</v>
      </c>
      <c r="B15" s="13">
        <f t="shared" ref="B15:H15" si="11">SUM(B16:B22)</f>
        <v>50243.430000000008</v>
      </c>
      <c r="C15" s="13">
        <f t="shared" si="11"/>
        <v>52972.94</v>
      </c>
      <c r="D15" s="13">
        <f t="shared" si="11"/>
        <v>66085.100000000006</v>
      </c>
      <c r="E15" s="13">
        <f t="shared" si="11"/>
        <v>49461.780000000006</v>
      </c>
      <c r="F15" s="13">
        <f t="shared" si="11"/>
        <v>106714.13</v>
      </c>
      <c r="G15" s="13">
        <f t="shared" si="11"/>
        <v>51465.85</v>
      </c>
      <c r="H15" s="13">
        <f t="shared" si="11"/>
        <v>43649.259999999995</v>
      </c>
      <c r="I15" s="13">
        <f>SUM(I16:I22)</f>
        <v>44034.35</v>
      </c>
      <c r="J15" s="13">
        <f t="shared" ref="J15:M15" si="12">SUM(J16:J22)</f>
        <v>43789.410000000011</v>
      </c>
      <c r="K15" s="13">
        <f>SUM(K16:K22)</f>
        <v>46031.729999999996</v>
      </c>
      <c r="L15" s="13">
        <f t="shared" si="12"/>
        <v>89755.319999999992</v>
      </c>
      <c r="M15" s="13">
        <f t="shared" si="12"/>
        <v>47649.939999999988</v>
      </c>
      <c r="N15" s="13">
        <f>SUM(B15:M15)</f>
        <v>691853.23999999987</v>
      </c>
    </row>
    <row r="16" spans="1:18" ht="24" customHeight="1" thickBot="1" x14ac:dyDescent="0.3">
      <c r="A16" s="4" t="s">
        <v>30</v>
      </c>
      <c r="B16" s="11">
        <f>41672.83+1054.36</f>
        <v>42727.19</v>
      </c>
      <c r="C16" s="11">
        <f>38346.3+1047.26</f>
        <v>39393.560000000005</v>
      </c>
      <c r="D16" s="11">
        <f>45140.55+1076.13</f>
        <v>46216.68</v>
      </c>
      <c r="E16" s="11">
        <f>36706.83+973.19</f>
        <v>37680.020000000004</v>
      </c>
      <c r="F16" s="11">
        <f>86937.62+2683.41</f>
        <v>89621.03</v>
      </c>
      <c r="G16" s="11">
        <f>39419.76+1009.94</f>
        <v>40429.700000000004</v>
      </c>
      <c r="H16" s="11">
        <f>34711.64+906.35</f>
        <v>35617.99</v>
      </c>
      <c r="I16" s="11">
        <f>35844.49+1017.68</f>
        <v>36862.17</v>
      </c>
      <c r="J16" s="11">
        <f>35693.73+975.17</f>
        <v>36668.9</v>
      </c>
      <c r="K16" s="11">
        <f>36613.28+944.76</f>
        <v>37558.04</v>
      </c>
      <c r="L16" s="11">
        <f>75883.02+2349.61</f>
        <v>78232.63</v>
      </c>
      <c r="M16" s="11">
        <f>39882.45+1006.11</f>
        <v>40888.559999999998</v>
      </c>
      <c r="N16" s="11">
        <f t="shared" si="10"/>
        <v>561896.47</v>
      </c>
    </row>
    <row r="17" spans="1:15" ht="26.25" customHeight="1" thickBot="1" x14ac:dyDescent="0.3">
      <c r="A17" s="4" t="s">
        <v>17</v>
      </c>
      <c r="B17" s="11">
        <v>1642.44</v>
      </c>
      <c r="C17" s="11">
        <f>1642.44+5285.82</f>
        <v>6928.26</v>
      </c>
      <c r="D17" s="11">
        <v>1642.44</v>
      </c>
      <c r="E17" s="11">
        <f>2642.91+1642.44</f>
        <v>4285.3500000000004</v>
      </c>
      <c r="F17" s="11">
        <f>2642.91+1642.44</f>
        <v>4285.3500000000004</v>
      </c>
      <c r="G17" s="11">
        <f>2642.91+1642.44</f>
        <v>4285.3500000000004</v>
      </c>
      <c r="H17" s="11">
        <f>1642.44+2642.91</f>
        <v>4285.3500000000004</v>
      </c>
      <c r="I17" s="11">
        <f>1642.44+2642.91</f>
        <v>4285.3500000000004</v>
      </c>
      <c r="J17" s="11">
        <f>1642.44+2642.01</f>
        <v>4284.4500000000007</v>
      </c>
      <c r="K17" s="11">
        <f>2642.91+1642.44</f>
        <v>4285.3500000000004</v>
      </c>
      <c r="L17" s="11">
        <f>2767.18+1642.44</f>
        <v>4409.62</v>
      </c>
      <c r="M17" s="11">
        <f>2767.18+1719.67</f>
        <v>4486.8500000000004</v>
      </c>
      <c r="N17" s="11">
        <f t="shared" si="10"/>
        <v>49106.159999999996</v>
      </c>
    </row>
    <row r="18" spans="1:15" ht="26.25" customHeight="1" thickBot="1" x14ac:dyDescent="0.3">
      <c r="A18" s="4" t="s">
        <v>18</v>
      </c>
      <c r="B18" s="11">
        <f>3794.06+135.6</f>
        <v>3929.66</v>
      </c>
      <c r="C18" s="11">
        <f>1936.34+71.84+218.2+115.6</f>
        <v>2341.9799999999996</v>
      </c>
      <c r="D18" s="11">
        <f>8998.93+390.63+628.58</f>
        <v>10018.14</v>
      </c>
      <c r="E18" s="11">
        <f>3963.72+273.11+169.72</f>
        <v>4406.55</v>
      </c>
      <c r="F18" s="11">
        <f>4967.39+80.92+50.29</f>
        <v>5098.6000000000004</v>
      </c>
      <c r="G18" s="11">
        <f>3571.45+258.66+160.74</f>
        <v>3990.8499999999995</v>
      </c>
      <c r="H18" s="11">
        <f>1620.36+70.04+112.71</f>
        <v>1803.11</v>
      </c>
      <c r="I18" s="11">
        <f>863.29+36.82+59.25</f>
        <v>959.36</v>
      </c>
      <c r="J18" s="11">
        <v>127.21</v>
      </c>
      <c r="K18" s="11">
        <v>109.59</v>
      </c>
      <c r="L18" s="11">
        <v>1817.47</v>
      </c>
      <c r="M18" s="11">
        <v>122.46</v>
      </c>
      <c r="N18" s="11">
        <f t="shared" si="10"/>
        <v>34724.979999999996</v>
      </c>
    </row>
    <row r="19" spans="1:15" ht="26.25" customHeight="1" thickBot="1" x14ac:dyDescent="0.3">
      <c r="A19" s="4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2.92</v>
      </c>
      <c r="N19" s="11">
        <f t="shared" si="10"/>
        <v>2.92</v>
      </c>
    </row>
    <row r="20" spans="1:15" ht="26.25" customHeight="1" thickBot="1" x14ac:dyDescent="0.3">
      <c r="A20" s="4" t="s">
        <v>20</v>
      </c>
      <c r="B20" s="11">
        <v>2.2999999999999998</v>
      </c>
      <c r="C20" s="11">
        <f>2075.57+103.27+166.18</f>
        <v>2345.02</v>
      </c>
      <c r="D20" s="11">
        <f>5507.85+253.24+407.49</f>
        <v>6168.58</v>
      </c>
      <c r="E20" s="11">
        <f>1066.97+54.91+34.12</f>
        <v>1156</v>
      </c>
      <c r="F20" s="11">
        <f>4677.51+276+171.52</f>
        <v>5125.0300000000007</v>
      </c>
      <c r="G20" s="11">
        <f>764.08+24.57+15.27</f>
        <v>803.92000000000007</v>
      </c>
      <c r="H20" s="11">
        <v>24.57</v>
      </c>
      <c r="I20" s="11">
        <v>0</v>
      </c>
      <c r="J20" s="11">
        <f>694.27+34.12+54.91</f>
        <v>783.3</v>
      </c>
      <c r="K20" s="11">
        <f>1897.27+153.17+95.19</f>
        <v>2145.63</v>
      </c>
      <c r="L20" s="11">
        <f>2819.26+164.73+95.19</f>
        <v>3079.1800000000003</v>
      </c>
      <c r="M20" s="11">
        <v>199.2</v>
      </c>
      <c r="N20" s="11">
        <f t="shared" si="10"/>
        <v>21832.730000000003</v>
      </c>
    </row>
    <row r="21" spans="1:15" ht="26.25" customHeight="1" thickBot="1" x14ac:dyDescent="0.3">
      <c r="A21" s="4" t="s">
        <v>27</v>
      </c>
      <c r="B21" s="11">
        <f>328.37+13.47</f>
        <v>341.84000000000003</v>
      </c>
      <c r="C21" s="11">
        <f>307.29+13.47+43.36</f>
        <v>364.12000000000006</v>
      </c>
      <c r="D21" s="11">
        <f>404.11+13.47+21.68</f>
        <v>439.26000000000005</v>
      </c>
      <c r="E21" s="11">
        <f>298.71+21.68+13.47</f>
        <v>333.86</v>
      </c>
      <c r="F21" s="11">
        <f>668.97+21.68+13.47</f>
        <v>704.12</v>
      </c>
      <c r="G21" s="11">
        <f>320.88+21.68+13.47</f>
        <v>356.03000000000003</v>
      </c>
      <c r="H21" s="11">
        <f>283.09+13.47+21.68</f>
        <v>318.24</v>
      </c>
      <c r="I21" s="11">
        <f>292.32+13.47+21.68</f>
        <v>327.47000000000003</v>
      </c>
      <c r="J21" s="11">
        <f>290.4+13.47+21.68</f>
        <v>325.55</v>
      </c>
      <c r="K21" s="11">
        <f>297.97+21.68+13.47</f>
        <v>333.12000000000006</v>
      </c>
      <c r="L21" s="11">
        <f>581.27+21.68+13.47</f>
        <v>616.41999999999996</v>
      </c>
      <c r="M21" s="11">
        <f>314.8+21.68+13.47</f>
        <v>349.95000000000005</v>
      </c>
      <c r="N21" s="11">
        <f t="shared" si="10"/>
        <v>4809.9800000000005</v>
      </c>
    </row>
    <row r="22" spans="1:15" ht="26.25" customHeight="1" thickBot="1" x14ac:dyDescent="0.3">
      <c r="A22" s="4" t="s">
        <v>15</v>
      </c>
      <c r="B22" s="14">
        <v>1600</v>
      </c>
      <c r="C22" s="14">
        <v>1600</v>
      </c>
      <c r="D22" s="14">
        <v>1600</v>
      </c>
      <c r="E22" s="14">
        <v>1600</v>
      </c>
      <c r="F22" s="14">
        <v>1880</v>
      </c>
      <c r="G22" s="14">
        <v>1600</v>
      </c>
      <c r="H22" s="14">
        <v>1600</v>
      </c>
      <c r="I22" s="14">
        <v>1600</v>
      </c>
      <c r="J22" s="14">
        <v>1600</v>
      </c>
      <c r="K22" s="14">
        <v>1600</v>
      </c>
      <c r="L22" s="14">
        <v>1600</v>
      </c>
      <c r="M22" s="14">
        <v>1600</v>
      </c>
      <c r="N22" s="11">
        <f t="shared" si="10"/>
        <v>19480</v>
      </c>
      <c r="O22" s="3"/>
    </row>
    <row r="23" spans="1:15" ht="21.75" customHeight="1" thickBot="1" x14ac:dyDescent="0.3">
      <c r="A23" s="15" t="s">
        <v>25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2659.7*0.6</f>
        <v>1595.82</v>
      </c>
      <c r="C24" s="11">
        <f t="shared" ref="C24:M24" si="13">2659.7*0.6</f>
        <v>1595.82</v>
      </c>
      <c r="D24" s="11">
        <f t="shared" si="13"/>
        <v>1595.82</v>
      </c>
      <c r="E24" s="11">
        <f t="shared" si="13"/>
        <v>1595.82</v>
      </c>
      <c r="F24" s="11">
        <f t="shared" si="13"/>
        <v>1595.82</v>
      </c>
      <c r="G24" s="11">
        <f t="shared" si="13"/>
        <v>1595.82</v>
      </c>
      <c r="H24" s="11">
        <f t="shared" si="13"/>
        <v>1595.82</v>
      </c>
      <c r="I24" s="11">
        <f t="shared" si="13"/>
        <v>1595.82</v>
      </c>
      <c r="J24" s="11">
        <f t="shared" si="13"/>
        <v>1595.82</v>
      </c>
      <c r="K24" s="11">
        <f t="shared" si="13"/>
        <v>1595.82</v>
      </c>
      <c r="L24" s="11">
        <f t="shared" si="13"/>
        <v>1595.82</v>
      </c>
      <c r="M24" s="11">
        <f t="shared" si="13"/>
        <v>1595.82</v>
      </c>
      <c r="N24" s="11">
        <f t="shared" ref="N24:N36" si="14">SUM(B24:M24)</f>
        <v>19149.84</v>
      </c>
    </row>
    <row r="25" spans="1:15" ht="22.5" customHeight="1" thickBot="1" x14ac:dyDescent="0.3">
      <c r="A25" s="4" t="s">
        <v>2</v>
      </c>
      <c r="B25" s="11">
        <f t="shared" ref="B25:M25" si="15">2659.7*0.17</f>
        <v>452.149</v>
      </c>
      <c r="C25" s="11">
        <f t="shared" si="15"/>
        <v>452.149</v>
      </c>
      <c r="D25" s="11">
        <f t="shared" si="15"/>
        <v>452.149</v>
      </c>
      <c r="E25" s="11">
        <f t="shared" si="15"/>
        <v>452.149</v>
      </c>
      <c r="F25" s="11">
        <f t="shared" si="15"/>
        <v>452.149</v>
      </c>
      <c r="G25" s="11">
        <f t="shared" si="15"/>
        <v>452.149</v>
      </c>
      <c r="H25" s="11">
        <f t="shared" si="15"/>
        <v>452.149</v>
      </c>
      <c r="I25" s="11">
        <f t="shared" si="15"/>
        <v>452.149</v>
      </c>
      <c r="J25" s="11">
        <f t="shared" si="15"/>
        <v>452.149</v>
      </c>
      <c r="K25" s="11">
        <f t="shared" si="15"/>
        <v>452.149</v>
      </c>
      <c r="L25" s="11">
        <f t="shared" si="15"/>
        <v>452.149</v>
      </c>
      <c r="M25" s="11">
        <f t="shared" si="15"/>
        <v>452.149</v>
      </c>
      <c r="N25" s="11">
        <f t="shared" si="14"/>
        <v>5425.7880000000005</v>
      </c>
    </row>
    <row r="26" spans="1:15" ht="21" customHeight="1" thickBot="1" x14ac:dyDescent="0.3">
      <c r="A26" s="4" t="s">
        <v>3</v>
      </c>
      <c r="B26" s="11">
        <f>50670.02*2.3%</f>
        <v>1165.4104599999998</v>
      </c>
      <c r="C26" s="11">
        <f>63342.11*2.3%</f>
        <v>1456.86853</v>
      </c>
      <c r="D26" s="11">
        <f>51429.68*2.3%</f>
        <v>1182.88264</v>
      </c>
      <c r="E26" s="11">
        <f>51933.99*2.3%</f>
        <v>1194.4817699999999</v>
      </c>
      <c r="F26" s="11">
        <f>50679.05*2.3%</f>
        <v>1165.61815</v>
      </c>
      <c r="G26" s="11">
        <f>47807.95*2.3%</f>
        <v>1099.58285</v>
      </c>
      <c r="H26" s="11">
        <f>46917.18*2.3%</f>
        <v>1079.0951399999999</v>
      </c>
      <c r="I26" s="11">
        <f>46848.65*2.3%</f>
        <v>1077.5189499999999</v>
      </c>
      <c r="J26" s="11">
        <f>48490.27*2.3%</f>
        <v>1115.27621</v>
      </c>
      <c r="K26" s="11">
        <f>50775.89*2.3%</f>
        <v>1167.84547</v>
      </c>
      <c r="L26" s="11">
        <f>48008.74*2.3%</f>
        <v>1104.20102</v>
      </c>
      <c r="M26" s="11">
        <f>56267.56*2.3%</f>
        <v>1294.1538799999998</v>
      </c>
      <c r="N26" s="11">
        <f t="shared" si="14"/>
        <v>14102.93507</v>
      </c>
    </row>
    <row r="27" spans="1:15" ht="23.25" customHeight="1" thickBot="1" x14ac:dyDescent="0.3">
      <c r="A27" s="4" t="s">
        <v>4</v>
      </c>
      <c r="B27" s="11">
        <f>46851.92*3%</f>
        <v>1405.5575999999999</v>
      </c>
      <c r="C27" s="11">
        <f>43712.76*3%</f>
        <v>1311.3828000000001</v>
      </c>
      <c r="D27" s="11">
        <f>61127.57*3%</f>
        <v>1833.8271</v>
      </c>
      <c r="E27" s="11">
        <f>43009.42*3%</f>
        <v>1290.2826</v>
      </c>
      <c r="F27" s="11">
        <f>99934.9*3%</f>
        <v>2998.0469999999996</v>
      </c>
      <c r="G27" s="11">
        <f>45086.11*3%</f>
        <v>1352.5833</v>
      </c>
      <c r="H27" s="11">
        <f>37546.01*3%</f>
        <v>1126.3803</v>
      </c>
      <c r="I27" s="11">
        <f>38017.78*3%</f>
        <v>1140.5334</v>
      </c>
      <c r="J27" s="11">
        <f>37780.78*3%</f>
        <v>1133.4233999999999</v>
      </c>
      <c r="K27" s="11">
        <f>39862.87*3%</f>
        <v>1195.8860999999999</v>
      </c>
      <c r="L27" s="11">
        <f>83450.63*3%</f>
        <v>2503.5189</v>
      </c>
      <c r="M27" s="11">
        <f>41527.94*3%</f>
        <v>1245.8381999999999</v>
      </c>
      <c r="N27" s="11">
        <f t="shared" si="14"/>
        <v>18537.260699999999</v>
      </c>
    </row>
    <row r="28" spans="1:15" ht="23.25" customHeight="1" thickBot="1" x14ac:dyDescent="0.3">
      <c r="A28" s="4" t="s">
        <v>9</v>
      </c>
      <c r="B28" s="11">
        <f t="shared" ref="B28:M28" si="16">2659.7*9.7</f>
        <v>25799.089999999997</v>
      </c>
      <c r="C28" s="11">
        <f t="shared" si="16"/>
        <v>25799.089999999997</v>
      </c>
      <c r="D28" s="11">
        <f t="shared" si="16"/>
        <v>25799.089999999997</v>
      </c>
      <c r="E28" s="11">
        <f t="shared" si="16"/>
        <v>25799.089999999997</v>
      </c>
      <c r="F28" s="11">
        <f t="shared" si="16"/>
        <v>25799.089999999997</v>
      </c>
      <c r="G28" s="11">
        <f t="shared" si="16"/>
        <v>25799.089999999997</v>
      </c>
      <c r="H28" s="11">
        <f t="shared" si="16"/>
        <v>25799.089999999997</v>
      </c>
      <c r="I28" s="11">
        <f t="shared" si="16"/>
        <v>25799.089999999997</v>
      </c>
      <c r="J28" s="11">
        <f t="shared" si="16"/>
        <v>25799.089999999997</v>
      </c>
      <c r="K28" s="11">
        <f t="shared" si="16"/>
        <v>25799.089999999997</v>
      </c>
      <c r="L28" s="11">
        <f t="shared" si="16"/>
        <v>25799.089999999997</v>
      </c>
      <c r="M28" s="11">
        <f t="shared" si="16"/>
        <v>25799.089999999997</v>
      </c>
      <c r="N28" s="11">
        <f t="shared" si="14"/>
        <v>309589.07999999996</v>
      </c>
    </row>
    <row r="29" spans="1:15" ht="26.25" customHeight="1" thickBot="1" x14ac:dyDescent="0.3">
      <c r="A29" s="4" t="s">
        <v>21</v>
      </c>
      <c r="B29" s="11">
        <f>10278.61+1307.55</f>
        <v>11586.16</v>
      </c>
      <c r="C29" s="11">
        <f>4449.2+566.06</f>
        <v>5015.26</v>
      </c>
      <c r="D29" s="11">
        <f>1324.7+168.65</f>
        <v>1493.3500000000001</v>
      </c>
      <c r="E29" s="11">
        <f>4216.76+536.39</f>
        <v>4753.1500000000005</v>
      </c>
      <c r="F29" s="11">
        <f>1833.54+233.4</f>
        <v>2066.94</v>
      </c>
      <c r="G29" s="11">
        <f>967.05+123.02</f>
        <v>1090.07</v>
      </c>
      <c r="H29" s="11">
        <v>0</v>
      </c>
      <c r="I29" s="11">
        <f>0.44+0.02</f>
        <v>0.46</v>
      </c>
      <c r="J29" s="11">
        <v>0</v>
      </c>
      <c r="K29" s="11">
        <f>0+0.02</f>
        <v>0.02</v>
      </c>
      <c r="L29" s="11">
        <f>6835.76+869.5</f>
        <v>7705.26</v>
      </c>
      <c r="M29" s="11">
        <f>3998.75+508.77</f>
        <v>4507.5200000000004</v>
      </c>
      <c r="N29" s="11">
        <f t="shared" si="14"/>
        <v>38218.19</v>
      </c>
    </row>
    <row r="30" spans="1:15" ht="26.25" customHeight="1" thickBot="1" x14ac:dyDescent="0.3">
      <c r="A30" s="4" t="s">
        <v>22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4"/>
        <v>0</v>
      </c>
    </row>
    <row r="31" spans="1:15" ht="26.25" customHeight="1" thickBot="1" x14ac:dyDescent="0.3">
      <c r="A31" s="4" t="s">
        <v>23</v>
      </c>
      <c r="B31" s="11">
        <v>7507.2</v>
      </c>
      <c r="C31" s="11">
        <v>1014.9</v>
      </c>
      <c r="D31" s="11">
        <v>5089.8</v>
      </c>
      <c r="E31" s="11">
        <v>453.9</v>
      </c>
      <c r="F31" s="11">
        <v>0</v>
      </c>
      <c r="G31" s="11">
        <v>0</v>
      </c>
      <c r="H31" s="11">
        <v>1014.9</v>
      </c>
      <c r="I31" s="11">
        <v>2815.22</v>
      </c>
      <c r="J31" s="11">
        <v>3034.5</v>
      </c>
      <c r="K31" s="11">
        <v>0</v>
      </c>
      <c r="L31" s="11">
        <v>1351.5</v>
      </c>
      <c r="M31" s="11">
        <v>2544.91</v>
      </c>
      <c r="N31" s="11">
        <f t="shared" si="14"/>
        <v>24826.83</v>
      </c>
    </row>
    <row r="32" spans="1:15" ht="26.25" customHeight="1" thickBot="1" x14ac:dyDescent="0.3">
      <c r="A32" s="4" t="s">
        <v>27</v>
      </c>
      <c r="B32" s="11">
        <v>396.83</v>
      </c>
      <c r="C32" s="11">
        <v>396.83</v>
      </c>
      <c r="D32" s="11">
        <v>396.83</v>
      </c>
      <c r="E32" s="11">
        <v>396.83</v>
      </c>
      <c r="F32" s="11">
        <v>396.83</v>
      </c>
      <c r="G32" s="11">
        <v>396.83</v>
      </c>
      <c r="H32" s="11">
        <v>396.83</v>
      </c>
      <c r="I32" s="11">
        <v>396.83</v>
      </c>
      <c r="J32" s="11">
        <v>396.83</v>
      </c>
      <c r="K32" s="11">
        <v>396.83</v>
      </c>
      <c r="L32" s="11">
        <v>396.83</v>
      </c>
      <c r="M32" s="11">
        <v>396.83</v>
      </c>
      <c r="N32" s="11">
        <f t="shared" si="14"/>
        <v>4761.96</v>
      </c>
    </row>
    <row r="33" spans="1:14" ht="22.5" customHeight="1" thickBot="1" x14ac:dyDescent="0.3">
      <c r="A33" s="4" t="s">
        <v>6</v>
      </c>
      <c r="B33" s="11">
        <f t="shared" ref="B33:J33" si="17">2659.7*2.74</f>
        <v>7287.5780000000004</v>
      </c>
      <c r="C33" s="11">
        <f t="shared" si="17"/>
        <v>7287.5780000000004</v>
      </c>
      <c r="D33" s="11">
        <f t="shared" si="17"/>
        <v>7287.5780000000004</v>
      </c>
      <c r="E33" s="11">
        <f t="shared" si="17"/>
        <v>7287.5780000000004</v>
      </c>
      <c r="F33" s="11">
        <f t="shared" si="17"/>
        <v>7287.5780000000004</v>
      </c>
      <c r="G33" s="11">
        <f t="shared" si="17"/>
        <v>7287.5780000000004</v>
      </c>
      <c r="H33" s="11">
        <f t="shared" si="17"/>
        <v>7287.5780000000004</v>
      </c>
      <c r="I33" s="11">
        <f t="shared" si="17"/>
        <v>7287.5780000000004</v>
      </c>
      <c r="J33" s="11">
        <f t="shared" si="17"/>
        <v>7287.5780000000004</v>
      </c>
      <c r="K33" s="11">
        <f>2659.7*2.87</f>
        <v>7633.3389999999999</v>
      </c>
      <c r="L33" s="11">
        <f t="shared" ref="L33:M33" si="18">2659.7*2.87</f>
        <v>7633.3389999999999</v>
      </c>
      <c r="M33" s="11">
        <f t="shared" si="18"/>
        <v>7633.3389999999999</v>
      </c>
      <c r="N33" s="11">
        <f t="shared" si="14"/>
        <v>88488.219000000012</v>
      </c>
    </row>
    <row r="34" spans="1:14" ht="24.75" customHeight="1" thickBot="1" x14ac:dyDescent="0.3">
      <c r="A34" s="4" t="s">
        <v>26</v>
      </c>
      <c r="B34" s="11">
        <v>900</v>
      </c>
      <c r="C34" s="11">
        <v>900</v>
      </c>
      <c r="D34" s="11">
        <v>900</v>
      </c>
      <c r="E34" s="11">
        <v>900</v>
      </c>
      <c r="F34" s="11">
        <v>900</v>
      </c>
      <c r="G34" s="11">
        <v>900</v>
      </c>
      <c r="H34" s="11">
        <v>900</v>
      </c>
      <c r="I34" s="11">
        <v>900</v>
      </c>
      <c r="J34" s="11">
        <v>900</v>
      </c>
      <c r="K34" s="11">
        <v>900</v>
      </c>
      <c r="L34" s="11">
        <v>900</v>
      </c>
      <c r="M34" s="11">
        <v>900</v>
      </c>
      <c r="N34" s="11">
        <f t="shared" si="14"/>
        <v>10800</v>
      </c>
    </row>
    <row r="35" spans="1:14" ht="24.75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8788.61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 t="shared" si="14"/>
        <v>8788.61</v>
      </c>
    </row>
    <row r="36" spans="1:14" ht="24" customHeight="1" thickBot="1" x14ac:dyDescent="0.3">
      <c r="A36" s="4" t="s">
        <v>10</v>
      </c>
      <c r="B36" s="11">
        <f>341.4</f>
        <v>341.4</v>
      </c>
      <c r="C36" s="11">
        <v>0</v>
      </c>
      <c r="D36" s="11">
        <f>793.5</f>
        <v>793.5</v>
      </c>
      <c r="E36" s="11">
        <f>4827.4+1511.1+2079.1+6116.1+305.9+4889.2</f>
        <v>19728.8</v>
      </c>
      <c r="F36" s="11">
        <f>82625.15+538.6+14163.5+7178.2</f>
        <v>104505.45</v>
      </c>
      <c r="G36" s="11">
        <f>15363.77</f>
        <v>15363.77</v>
      </c>
      <c r="H36" s="11">
        <v>0</v>
      </c>
      <c r="I36" s="11">
        <f>627.6</f>
        <v>627.6</v>
      </c>
      <c r="J36" s="11">
        <v>0</v>
      </c>
      <c r="K36" s="11">
        <f>2812.6+1818.5</f>
        <v>4631.1000000000004</v>
      </c>
      <c r="L36" s="11">
        <f>1967.5+3507.4+3557.9+1202</f>
        <v>10234.799999999999</v>
      </c>
      <c r="M36" s="11">
        <v>0</v>
      </c>
      <c r="N36" s="11">
        <f t="shared" si="14"/>
        <v>156226.41999999998</v>
      </c>
    </row>
    <row r="37" spans="1:14" ht="22.5" customHeight="1" thickBot="1" x14ac:dyDescent="0.3">
      <c r="A37" s="9" t="s">
        <v>24</v>
      </c>
      <c r="B37" s="10">
        <f t="shared" ref="B37:M37" si="19">SUM(B24:B36)</f>
        <v>58437.195059999998</v>
      </c>
      <c r="C37" s="10">
        <f t="shared" si="19"/>
        <v>45229.87833</v>
      </c>
      <c r="D37" s="10">
        <f t="shared" si="19"/>
        <v>46824.826739999997</v>
      </c>
      <c r="E37" s="10">
        <f t="shared" si="19"/>
        <v>63852.08137</v>
      </c>
      <c r="F37" s="10">
        <f t="shared" si="19"/>
        <v>147167.52215</v>
      </c>
      <c r="G37" s="10">
        <f t="shared" si="19"/>
        <v>55337.473150000005</v>
      </c>
      <c r="H37" s="10">
        <f t="shared" si="19"/>
        <v>48440.452440000001</v>
      </c>
      <c r="I37" s="10">
        <f t="shared" si="19"/>
        <v>42092.799349999994</v>
      </c>
      <c r="J37" s="10">
        <f t="shared" si="19"/>
        <v>41714.66661</v>
      </c>
      <c r="K37" s="10">
        <f t="shared" si="19"/>
        <v>43772.079569999994</v>
      </c>
      <c r="L37" s="10">
        <f t="shared" si="19"/>
        <v>59676.507920000004</v>
      </c>
      <c r="M37" s="10">
        <f t="shared" si="19"/>
        <v>46369.650079999999</v>
      </c>
      <c r="N37" s="10">
        <f>SUM(B37:M37)</f>
        <v>698915.13276999991</v>
      </c>
    </row>
    <row r="38" spans="1:14" ht="23.25" customHeight="1" thickBot="1" x14ac:dyDescent="0.3">
      <c r="A38" s="4" t="s">
        <v>5</v>
      </c>
      <c r="B38" s="18">
        <f t="shared" ref="B38:N38" si="20">B15-B37</f>
        <v>-8193.7650599999906</v>
      </c>
      <c r="C38" s="18">
        <f t="shared" si="20"/>
        <v>7743.0616700000028</v>
      </c>
      <c r="D38" s="18">
        <f t="shared" si="20"/>
        <v>19260.273260000009</v>
      </c>
      <c r="E38" s="18">
        <f t="shared" si="20"/>
        <v>-14390.301369999994</v>
      </c>
      <c r="F38" s="18">
        <f t="shared" si="20"/>
        <v>-40453.39215</v>
      </c>
      <c r="G38" s="18">
        <f t="shared" si="20"/>
        <v>-3871.6231500000067</v>
      </c>
      <c r="H38" s="18">
        <f t="shared" si="20"/>
        <v>-4791.1924400000062</v>
      </c>
      <c r="I38" s="18">
        <f t="shared" si="20"/>
        <v>1941.5506500000047</v>
      </c>
      <c r="J38" s="18">
        <f t="shared" si="20"/>
        <v>2074.7433900000105</v>
      </c>
      <c r="K38" s="18">
        <f t="shared" si="20"/>
        <v>2259.6504300000015</v>
      </c>
      <c r="L38" s="18">
        <f t="shared" si="20"/>
        <v>30078.812079999989</v>
      </c>
      <c r="M38" s="18">
        <f t="shared" si="20"/>
        <v>1280.2899199999883</v>
      </c>
      <c r="N38" s="11">
        <f t="shared" si="20"/>
        <v>-7061.8927700000349</v>
      </c>
    </row>
    <row r="39" spans="1:14" ht="23.25" customHeight="1" thickBot="1" x14ac:dyDescent="0.3">
      <c r="A39" s="4" t="s">
        <v>7</v>
      </c>
      <c r="B39" s="14">
        <f>B5+B38</f>
        <v>-563155.47505999997</v>
      </c>
      <c r="C39" s="19">
        <f>B39+C38</f>
        <v>-555412.41339</v>
      </c>
      <c r="D39" s="19">
        <f>C39+D38</f>
        <v>-536152.14012999996</v>
      </c>
      <c r="E39" s="14">
        <f>D39+E38</f>
        <v>-550542.44149999996</v>
      </c>
      <c r="F39" s="19">
        <f>E39+F38</f>
        <v>-590995.83364999993</v>
      </c>
      <c r="G39" s="19">
        <f>F39+G38</f>
        <v>-594867.45679999993</v>
      </c>
      <c r="H39" s="19">
        <f t="shared" ref="H39:J39" si="21">G39+H38</f>
        <v>-599658.64923999994</v>
      </c>
      <c r="I39" s="19">
        <f t="shared" si="21"/>
        <v>-597717.09858999995</v>
      </c>
      <c r="J39" s="19">
        <f t="shared" si="21"/>
        <v>-595642.35519999999</v>
      </c>
      <c r="K39" s="19">
        <f t="shared" ref="K39" si="22">J39+K38</f>
        <v>-593382.70476999995</v>
      </c>
      <c r="L39" s="19">
        <f t="shared" ref="L39" si="23">K39+L38</f>
        <v>-563303.89269000001</v>
      </c>
      <c r="M39" s="19">
        <f t="shared" ref="M39" si="24">L39+M38</f>
        <v>-562023.60277</v>
      </c>
      <c r="N39" s="18">
        <f>N5+N38</f>
        <v>-562023.60277</v>
      </c>
    </row>
    <row r="40" spans="1:14" ht="27" customHeight="1" thickBot="1" x14ac:dyDescent="0.3">
      <c r="A40" s="15" t="s">
        <v>11</v>
      </c>
      <c r="B40" s="20">
        <f t="shared" ref="B40:D40" si="25">B6+B15-B7</f>
        <v>-216036.03</v>
      </c>
      <c r="C40" s="20">
        <f t="shared" si="25"/>
        <v>-234075.63999999998</v>
      </c>
      <c r="D40" s="20">
        <f t="shared" si="25"/>
        <v>-225942.58</v>
      </c>
      <c r="E40" s="20">
        <f>E6+E15-E7</f>
        <v>-234984.02</v>
      </c>
      <c r="F40" s="20">
        <f>F6+F15-F7</f>
        <v>-185398.68</v>
      </c>
      <c r="G40" s="20">
        <f>G6+G15-G7</f>
        <v>-187914.02999999997</v>
      </c>
      <c r="H40" s="20">
        <f t="shared" ref="H40:M40" si="26">H6+H15-H7</f>
        <v>-197268.51999999996</v>
      </c>
      <c r="I40" s="20">
        <f t="shared" si="26"/>
        <v>-206162.34999999995</v>
      </c>
      <c r="J40" s="20">
        <f t="shared" si="26"/>
        <v>-217102.06999999995</v>
      </c>
      <c r="K40" s="20">
        <f t="shared" si="26"/>
        <v>-228305.32999999996</v>
      </c>
      <c r="L40" s="20">
        <f t="shared" si="26"/>
        <v>-192750.74999999994</v>
      </c>
      <c r="M40" s="20">
        <f t="shared" si="26"/>
        <v>-208359.33999999994</v>
      </c>
      <c r="N40" s="17">
        <f t="shared" ref="N40" si="27">N6+N15-N7</f>
        <v>-208359.34000000014</v>
      </c>
    </row>
    <row r="41" spans="1:14" ht="21.75" hidden="1" customHeight="1" thickBot="1" x14ac:dyDescent="0.35">
      <c r="A41" s="25" t="s">
        <v>28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2"/>
    </row>
    <row r="42" spans="1:14" ht="19.5" hidden="1" customHeight="1" thickBot="1" x14ac:dyDescent="0.35">
      <c r="A42" s="25" t="s">
        <v>11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2">
        <f>N40+N41</f>
        <v>-208359.34000000014</v>
      </c>
    </row>
  </sheetData>
  <mergeCells count="3">
    <mergeCell ref="A1:N1"/>
    <mergeCell ref="A41:M41"/>
    <mergeCell ref="A42:M42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2024-03-01T03:23:46Z</cp:lastPrinted>
  <dcterms:created xsi:type="dcterms:W3CDTF">2011-06-06T03:25:48Z</dcterms:created>
  <dcterms:modified xsi:type="dcterms:W3CDTF">2024-03-01T03:32:35Z</dcterms:modified>
</cp:coreProperties>
</file>