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M23" i="1" l="1"/>
  <c r="M21" i="1"/>
  <c r="M20" i="1"/>
  <c r="M22" i="1"/>
  <c r="M14" i="1"/>
  <c r="M10" i="1"/>
  <c r="M12" i="1"/>
  <c r="M11" i="1"/>
  <c r="M13" i="1"/>
  <c r="M9" i="1"/>
  <c r="L23" i="1"/>
  <c r="L21" i="1"/>
  <c r="L20" i="1"/>
  <c r="L22" i="1"/>
  <c r="L14" i="1"/>
  <c r="L10" i="1"/>
  <c r="L11" i="1"/>
  <c r="L13" i="1"/>
  <c r="L18" i="1"/>
  <c r="L9" i="1"/>
  <c r="K14" i="1"/>
  <c r="K12" i="1"/>
  <c r="K11" i="1"/>
  <c r="K13" i="1"/>
  <c r="K9" i="1"/>
  <c r="N24" i="1" l="1"/>
  <c r="L40" i="1" l="1"/>
  <c r="M31" i="1" l="1"/>
  <c r="L31" i="1"/>
  <c r="K31" i="1"/>
  <c r="K40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40" i="1" l="1"/>
  <c r="J23" i="1" l="1"/>
  <c r="J21" i="1"/>
  <c r="J20" i="1"/>
  <c r="J22" i="1"/>
  <c r="J14" i="1"/>
  <c r="J12" i="1"/>
  <c r="J11" i="1"/>
  <c r="J13" i="1"/>
  <c r="J9" i="1"/>
  <c r="I23" i="1"/>
  <c r="I21" i="1"/>
  <c r="I20" i="1"/>
  <c r="I22" i="1"/>
  <c r="I14" i="1"/>
  <c r="I12" i="1"/>
  <c r="I11" i="1"/>
  <c r="I13" i="1"/>
  <c r="I9" i="1"/>
  <c r="H23" i="1"/>
  <c r="H19" i="1"/>
  <c r="H21" i="1"/>
  <c r="H20" i="1"/>
  <c r="H22" i="1"/>
  <c r="H14" i="1"/>
  <c r="H12" i="1"/>
  <c r="H11" i="1"/>
  <c r="H13" i="1"/>
  <c r="H18" i="1"/>
  <c r="H9" i="1"/>
  <c r="J31" i="1" l="1"/>
  <c r="I40" i="1" l="1"/>
  <c r="F40" i="1" l="1"/>
  <c r="J35" i="1" l="1"/>
  <c r="I35" i="1"/>
  <c r="H35" i="1"/>
  <c r="J29" i="1" l="1"/>
  <c r="J17" i="1"/>
  <c r="J28" i="1"/>
  <c r="J8" i="1"/>
  <c r="H40" i="1" l="1"/>
  <c r="I29" i="1" l="1"/>
  <c r="I17" i="1"/>
  <c r="I28" i="1"/>
  <c r="I8" i="1"/>
  <c r="H29" i="1" l="1"/>
  <c r="H17" i="1"/>
  <c r="H28" i="1"/>
  <c r="H8" i="1"/>
  <c r="H30" i="1" l="1"/>
  <c r="I30" i="1"/>
  <c r="J30" i="1"/>
  <c r="H27" i="1"/>
  <c r="I27" i="1"/>
  <c r="J27" i="1"/>
  <c r="H26" i="1"/>
  <c r="I26" i="1"/>
  <c r="J26" i="1"/>
  <c r="G23" i="1" l="1"/>
  <c r="G19" i="1"/>
  <c r="G20" i="1"/>
  <c r="G22" i="1"/>
  <c r="G14" i="1"/>
  <c r="G12" i="1"/>
  <c r="G11" i="1"/>
  <c r="G13" i="1"/>
  <c r="G9" i="1"/>
  <c r="F14" i="1"/>
  <c r="F10" i="1"/>
  <c r="F12" i="1"/>
  <c r="F11" i="1"/>
  <c r="F13" i="1"/>
  <c r="F9" i="1"/>
  <c r="E23" i="1"/>
  <c r="E19" i="1"/>
  <c r="E21" i="1"/>
  <c r="E20" i="1"/>
  <c r="E22" i="1"/>
  <c r="E14" i="1"/>
  <c r="E10" i="1"/>
  <c r="E11" i="1"/>
  <c r="E13" i="1"/>
  <c r="E9" i="1"/>
  <c r="E31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40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14" i="1" l="1"/>
  <c r="D12" i="1"/>
  <c r="D11" i="1"/>
  <c r="D13" i="1"/>
  <c r="D9" i="1"/>
  <c r="C23" i="1"/>
  <c r="C21" i="1"/>
  <c r="C20" i="1"/>
  <c r="C22" i="1"/>
  <c r="C14" i="1"/>
  <c r="C10" i="1"/>
  <c r="C11" i="1"/>
  <c r="C13" i="1"/>
  <c r="C9" i="1"/>
  <c r="B14" i="1" l="1"/>
  <c r="B12" i="1"/>
  <c r="B11" i="1"/>
  <c r="B13" i="1"/>
  <c r="B9" i="1"/>
  <c r="D40" i="1" l="1"/>
  <c r="D31" i="1" l="1"/>
  <c r="B31" i="1"/>
  <c r="D29" i="1" l="1"/>
  <c r="D17" i="1"/>
  <c r="D28" i="1"/>
  <c r="D8" i="1"/>
  <c r="C40" i="1" l="1"/>
  <c r="C29" i="1" l="1"/>
  <c r="C17" i="1"/>
  <c r="C28" i="1"/>
  <c r="C8" i="1"/>
  <c r="B40" i="1" l="1"/>
  <c r="B29" i="1" l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N37" i="1" l="1"/>
  <c r="J16" i="1" l="1"/>
  <c r="N15" i="1" l="1"/>
  <c r="N6" i="1" l="1"/>
  <c r="N5" i="1"/>
  <c r="N27" i="1"/>
  <c r="N26" i="1"/>
  <c r="N9" i="1"/>
  <c r="M16" i="1" l="1"/>
  <c r="N30" i="1"/>
  <c r="N31" i="1"/>
  <c r="N32" i="1"/>
  <c r="N33" i="1"/>
  <c r="N34" i="1"/>
  <c r="N35" i="1"/>
  <c r="N36" i="1"/>
  <c r="N38" i="1"/>
  <c r="N39" i="1"/>
  <c r="K16" i="1"/>
  <c r="L16" i="1"/>
  <c r="M41" i="1" l="1"/>
  <c r="M42" i="1" s="1"/>
  <c r="L41" i="1"/>
  <c r="L42" i="1" s="1"/>
  <c r="K41" i="1"/>
  <c r="K42" i="1" s="1"/>
  <c r="K7" i="1"/>
  <c r="L7" i="1"/>
  <c r="M7" i="1"/>
  <c r="N14" i="1"/>
  <c r="H16" i="1" l="1"/>
  <c r="I16" i="1"/>
  <c r="J41" i="1"/>
  <c r="J42" i="1" s="1"/>
  <c r="H7" i="1"/>
  <c r="I7" i="1"/>
  <c r="J7" i="1"/>
  <c r="D7" i="1"/>
  <c r="C7" i="1"/>
  <c r="B7" i="1"/>
  <c r="G7" i="1"/>
  <c r="N28" i="1"/>
  <c r="N18" i="1"/>
  <c r="N17" i="1"/>
  <c r="N22" i="1"/>
  <c r="N21" i="1"/>
  <c r="N20" i="1"/>
  <c r="N8" i="1"/>
  <c r="N13" i="1"/>
  <c r="N12" i="1"/>
  <c r="N11" i="1"/>
  <c r="N10" i="1"/>
  <c r="D16" i="1"/>
  <c r="C16" i="1"/>
  <c r="B16" i="1"/>
  <c r="H41" i="1" l="1"/>
  <c r="H42" i="1" s="1"/>
  <c r="C41" i="1"/>
  <c r="C42" i="1" s="1"/>
  <c r="N40" i="1"/>
  <c r="N19" i="1"/>
  <c r="N23" i="1"/>
  <c r="N29" i="1"/>
  <c r="E7" i="1"/>
  <c r="F7" i="1"/>
  <c r="F16" i="1"/>
  <c r="G16" i="1"/>
  <c r="G41" i="1" s="1"/>
  <c r="G42" i="1" s="1"/>
  <c r="E16" i="1"/>
  <c r="I41" i="1"/>
  <c r="I42" i="1" s="1"/>
  <c r="B44" i="1"/>
  <c r="C6" i="1" s="1"/>
  <c r="C44" i="1" s="1"/>
  <c r="D6" i="1" s="1"/>
  <c r="D44" i="1" s="1"/>
  <c r="E6" i="1" s="1"/>
  <c r="N7" i="1" l="1"/>
  <c r="E41" i="1"/>
  <c r="E42" i="1" s="1"/>
  <c r="N16" i="1"/>
  <c r="F41" i="1"/>
  <c r="F42" i="1" s="1"/>
  <c r="B41" i="1"/>
  <c r="E44" i="1"/>
  <c r="F6" i="1" s="1"/>
  <c r="F44" i="1" s="1"/>
  <c r="G6" i="1" s="1"/>
  <c r="G44" i="1" s="1"/>
  <c r="D41" i="1"/>
  <c r="D42" i="1" s="1"/>
  <c r="H6" i="1" l="1"/>
  <c r="H44" i="1" s="1"/>
  <c r="I6" i="1" s="1"/>
  <c r="I44" i="1" s="1"/>
  <c r="J6" i="1" s="1"/>
  <c r="J44" i="1" s="1"/>
  <c r="K6" i="1" s="1"/>
  <c r="K44" i="1" s="1"/>
  <c r="L6" i="1" s="1"/>
  <c r="L44" i="1" s="1"/>
  <c r="M6" i="1" s="1"/>
  <c r="M44" i="1" s="1"/>
  <c r="N44" i="1"/>
  <c r="B42" i="1"/>
  <c r="B43" i="1" s="1"/>
  <c r="N41" i="1"/>
  <c r="N42" i="1" s="1"/>
  <c r="N43" i="1" s="1"/>
  <c r="C43" i="1" l="1"/>
  <c r="C5" i="1"/>
  <c r="D5" i="1" l="1"/>
  <c r="D43" i="1"/>
  <c r="E5" i="1" l="1"/>
  <c r="E43" i="1"/>
  <c r="F5" i="1" l="1"/>
  <c r="F43" i="1"/>
  <c r="G5" i="1" s="1"/>
  <c r="G43" i="1" s="1"/>
  <c r="H5" i="1" l="1"/>
  <c r="H43" i="1" s="1"/>
  <c r="I5" i="1" s="1"/>
  <c r="I43" i="1" s="1"/>
  <c r="J5" i="1" s="1"/>
  <c r="J43" i="1" s="1"/>
  <c r="K5" i="1" s="1"/>
  <c r="K43" i="1" s="1"/>
  <c r="L5" i="1" s="1"/>
  <c r="L43" i="1" s="1"/>
  <c r="M5" i="1" s="1"/>
  <c r="M43" i="1" s="1"/>
</calcChain>
</file>

<file path=xl/sharedStrings.xml><?xml version="1.0" encoding="utf-8"?>
<sst xmlns="http://schemas.openxmlformats.org/spreadsheetml/2006/main" count="55" uniqueCount="45">
  <si>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</si>
  <si>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</si>
  <si>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</si>
  <si>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</si>
  <si>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</si>
  <si>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</si>
  <si>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</si>
  <si>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</si>
  <si>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</si>
  <si>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</si>
  <si>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</si>
  <si>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</si>
  <si>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</si>
  <si>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</si>
  <si>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</si>
  <si>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</si>
  <si>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</si>
  <si>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</si>
  <si>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</si>
  <si>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</si>
  <si>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</si>
  <si>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</si>
  <si>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</si>
  <si>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</si>
  <si>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</si>
  <si>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</si>
  <si>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</si>
  <si>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</si>
  <si>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ЕИРКЦ (ведение счета по кап.ремонту)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</si>
  <si>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</si>
  <si>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</si>
  <si>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</si>
  <si>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</si>
  <si>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</si>
  <si>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</si>
  <si>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</si>
  <si>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</si>
  <si>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</si>
  <si>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</si>
  <si>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</si>
  <si>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2023г.</t>
  </si>
  <si>
    <t>Декабрь 2023г.</t>
  </si>
  <si>
    <t>Всего:                       за  2023г</t>
  </si>
  <si>
    <t>Возмещение расходов совета МКД</t>
  </si>
  <si>
    <t xml:space="preserve">                 ОТЧЕТ по дому Васильева, 55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</si>
</sst>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109375" customWidth="1"/>
    <col min="3" max="3" width="13.33203125" customWidth="1"/>
    <col min="4" max="5" width="13.44140625" customWidth="1"/>
    <col min="6" max="6" width="13.33203125" customWidth="1"/>
    <col min="7" max="7" width="13.88671875" customWidth="1"/>
    <col min="8" max="8" width="13.33203125" customWidth="1"/>
    <col min="9" max="9" width="13.5546875" customWidth="1"/>
    <col min="10" max="10" width="14.109375" customWidth="1"/>
    <col min="11" max="11" width="13.88671875" customWidth="1"/>
    <col min="12" max="12" width="14" customWidth="1"/>
    <col min="13" max="13" width="13.5546875" customWidth="1"/>
    <col min="14" max="14" width="15.77734375" customWidth="1"/>
  </cols>
  <sheetData>
    <row r="1" spans="1:18" ht="20.25" customHeight="1" x14ac:dyDescent="0.35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-247517.03</v>
      </c>
      <c r="C5" s="8">
        <f t="shared" ref="C5:D6" si="0">B43</f>
        <v>-292961.15207999997</v>
      </c>
      <c r="D5" s="8">
        <f t="shared" si="0"/>
        <v>-273744.29923999996</v>
      </c>
      <c r="E5" s="8">
        <f t="shared" ref="E5:G6" si="1">D43</f>
        <v>-388245.09858999995</v>
      </c>
      <c r="F5" s="8">
        <f t="shared" si="1"/>
        <v>-388567.71737999993</v>
      </c>
      <c r="G5" s="8">
        <f t="shared" si="1"/>
        <v>-394310.77267999994</v>
      </c>
      <c r="H5" s="8">
        <f t="shared" ref="H5:H6" si="2">G43</f>
        <v>-378700.47789999994</v>
      </c>
      <c r="I5" s="8">
        <f t="shared" ref="I5:I6" si="3">H43</f>
        <v>-391058.68068999995</v>
      </c>
      <c r="J5" s="8">
        <f t="shared" ref="J5:J6" si="4">I43</f>
        <v>-414479.54441999993</v>
      </c>
      <c r="K5" s="8">
        <f t="shared" ref="K5:K6" si="5">J43</f>
        <v>-408120.8546599999</v>
      </c>
      <c r="L5" s="8">
        <f t="shared" ref="L5:L6" si="6">K43</f>
        <v>-410972.6573299999</v>
      </c>
      <c r="M5" s="8">
        <f t="shared" ref="M5:M6" si="7">L43</f>
        <v>-397695.89902999991</v>
      </c>
      <c r="N5" s="8">
        <f>B5</f>
        <v>-247517.03</v>
      </c>
    </row>
    <row r="6" spans="1:18" ht="21" customHeight="1" thickBot="1" x14ac:dyDescent="0.3">
      <c r="A6" s="7" t="s">
        <v>13</v>
      </c>
      <c r="B6" s="8">
        <v>-326246.71000000002</v>
      </c>
      <c r="C6" s="8">
        <f t="shared" si="0"/>
        <v>-342470.92000000004</v>
      </c>
      <c r="D6" s="8">
        <f t="shared" si="0"/>
        <v>-334359.01</v>
      </c>
      <c r="E6" s="8">
        <f t="shared" si="1"/>
        <v>-352584.57000000007</v>
      </c>
      <c r="F6" s="8">
        <f t="shared" si="1"/>
        <v>-357473.74000000005</v>
      </c>
      <c r="G6" s="8">
        <f t="shared" si="1"/>
        <v>-377139.75</v>
      </c>
      <c r="H6" s="8">
        <f t="shared" si="2"/>
        <v>-379663.51</v>
      </c>
      <c r="I6" s="8">
        <f t="shared" si="3"/>
        <v>-388005.92000000004</v>
      </c>
      <c r="J6" s="8">
        <f t="shared" si="4"/>
        <v>-404952.21</v>
      </c>
      <c r="K6" s="8">
        <f t="shared" si="5"/>
        <v>-407781.82999999996</v>
      </c>
      <c r="L6" s="8">
        <f t="shared" si="6"/>
        <v>-427657.16999999993</v>
      </c>
      <c r="M6" s="8">
        <f t="shared" si="7"/>
        <v>-428346.23999999993</v>
      </c>
      <c r="N6" s="8">
        <f>B6</f>
        <v>-326246.71000000002</v>
      </c>
    </row>
    <row r="7" spans="1:18" ht="20.25" customHeight="1" thickBot="1" x14ac:dyDescent="0.3">
      <c r="A7" s="9" t="s">
        <v>12</v>
      </c>
      <c r="B7" s="10">
        <f t="shared" ref="B7:M7" si="8">SUM(B8:B15)</f>
        <v>87281.93</v>
      </c>
      <c r="C7" s="10">
        <f t="shared" si="8"/>
        <v>76302.13</v>
      </c>
      <c r="D7" s="10">
        <f t="shared" si="8"/>
        <v>81552.91</v>
      </c>
      <c r="E7" s="10">
        <f t="shared" si="8"/>
        <v>76744.819999999992</v>
      </c>
      <c r="F7" s="10">
        <f t="shared" si="8"/>
        <v>87935.98</v>
      </c>
      <c r="G7" s="10">
        <f t="shared" si="8"/>
        <v>77196.02</v>
      </c>
      <c r="H7" s="10">
        <f t="shared" si="8"/>
        <v>76354.13</v>
      </c>
      <c r="I7" s="10">
        <f t="shared" si="8"/>
        <v>90110.799999999988</v>
      </c>
      <c r="J7" s="10">
        <f t="shared" si="8"/>
        <v>93221.979999999981</v>
      </c>
      <c r="K7" s="10">
        <f t="shared" si="8"/>
        <v>97317.569999999978</v>
      </c>
      <c r="L7" s="10">
        <f t="shared" si="8"/>
        <v>99789.21</v>
      </c>
      <c r="M7" s="10">
        <f t="shared" si="8"/>
        <v>108796.25</v>
      </c>
      <c r="N7" s="10">
        <f>SUM(B7:M7)</f>
        <v>1052603.73</v>
      </c>
    </row>
    <row r="8" spans="1:18" ht="24.75" customHeight="1" thickBot="1" x14ac:dyDescent="0.3">
      <c r="A8" s="4" t="s">
        <v>29</v>
      </c>
      <c r="B8" s="11">
        <f t="shared" ref="B8:G8" si="9">63249.3+1323.78</f>
        <v>64573.08</v>
      </c>
      <c r="C8" s="11">
        <f t="shared" si="9"/>
        <v>64573.08</v>
      </c>
      <c r="D8" s="11">
        <f t="shared" si="9"/>
        <v>64573.08</v>
      </c>
      <c r="E8" s="11">
        <f t="shared" si="9"/>
        <v>64573.08</v>
      </c>
      <c r="F8" s="11">
        <f t="shared" si="9"/>
        <v>64573.08</v>
      </c>
      <c r="G8" s="11">
        <f t="shared" si="9"/>
        <v>64573.08</v>
      </c>
      <c r="H8" s="11">
        <f>63249.3+1323.78</f>
        <v>64573.08</v>
      </c>
      <c r="I8" s="11">
        <f>75899.18+1323.78</f>
        <v>77222.959999999992</v>
      </c>
      <c r="J8" s="11">
        <f>75899.18+1323.78</f>
        <v>77222.959999999992</v>
      </c>
      <c r="K8" s="11">
        <f>75899.18+1323.78</f>
        <v>77222.959999999992</v>
      </c>
      <c r="L8" s="11">
        <f>75881.32+1323.46</f>
        <v>77204.780000000013</v>
      </c>
      <c r="M8" s="11">
        <f>75881.32+1323.46</f>
        <v>77204.780000000013</v>
      </c>
      <c r="N8" s="11">
        <f t="shared" ref="N8:N15" si="10">SUM(B8:M8)</f>
        <v>838090</v>
      </c>
    </row>
    <row r="9" spans="1:18" ht="24.75" customHeight="1" thickBot="1" x14ac:dyDescent="0.3">
      <c r="A9" s="4" t="s">
        <v>17</v>
      </c>
      <c r="B9" s="11">
        <f t="shared" ref="B9:G9" si="11">1672.14+2334.3</f>
        <v>4006.4400000000005</v>
      </c>
      <c r="C9" s="11">
        <f t="shared" si="11"/>
        <v>4006.4400000000005</v>
      </c>
      <c r="D9" s="11">
        <f t="shared" si="11"/>
        <v>4006.4400000000005</v>
      </c>
      <c r="E9" s="11">
        <f t="shared" si="11"/>
        <v>4006.4400000000005</v>
      </c>
      <c r="F9" s="11">
        <f t="shared" si="11"/>
        <v>4006.4400000000005</v>
      </c>
      <c r="G9" s="11">
        <f t="shared" si="11"/>
        <v>4006.4400000000005</v>
      </c>
      <c r="H9" s="11">
        <f>1672.14+2334.3</f>
        <v>4006.4400000000005</v>
      </c>
      <c r="I9" s="11">
        <f>2006.57+2801.16</f>
        <v>4807.7299999999996</v>
      </c>
      <c r="J9" s="11">
        <f>2006.57+2801.16</f>
        <v>4807.7299999999996</v>
      </c>
      <c r="K9" s="11">
        <f>2006.57+2801.16</f>
        <v>4807.7299999999996</v>
      </c>
      <c r="L9" s="11">
        <f>2006.57+2801.16</f>
        <v>4807.7299999999996</v>
      </c>
      <c r="M9" s="11">
        <f>2006.57+2801.16</f>
        <v>4807.7299999999996</v>
      </c>
      <c r="N9" s="11">
        <f t="shared" si="10"/>
        <v>52083.729999999996</v>
      </c>
    </row>
    <row r="10" spans="1:18" ht="24.75" customHeight="1" thickBot="1" x14ac:dyDescent="0.3">
      <c r="A10" s="4" t="s">
        <v>18</v>
      </c>
      <c r="B10" s="11">
        <v>0</v>
      </c>
      <c r="C10" s="11">
        <f>491.76+12.59</f>
        <v>504.34999999999997</v>
      </c>
      <c r="D10" s="11">
        <v>0</v>
      </c>
      <c r="E10" s="11">
        <f>922.77+24.27</f>
        <v>947.04</v>
      </c>
      <c r="F10" s="11">
        <f>852.52+22.48</f>
        <v>875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f>10286.05+272.4</f>
        <v>10558.449999999999</v>
      </c>
      <c r="M10" s="11">
        <f>17479.34+462.09</f>
        <v>17941.43</v>
      </c>
      <c r="N10" s="11">
        <f t="shared" si="10"/>
        <v>30826.269999999997</v>
      </c>
    </row>
    <row r="11" spans="1:18" ht="24.75" customHeight="1" thickBot="1" x14ac:dyDescent="0.3">
      <c r="A11" s="4" t="s">
        <v>19</v>
      </c>
      <c r="B11" s="11">
        <f>4840.16+127.66</f>
        <v>4967.82</v>
      </c>
      <c r="C11" s="11">
        <f t="shared" ref="C11:J11" si="12">219.89+5.39</f>
        <v>225.27999999999997</v>
      </c>
      <c r="D11" s="11">
        <f t="shared" si="12"/>
        <v>225.27999999999997</v>
      </c>
      <c r="E11" s="11">
        <f t="shared" si="12"/>
        <v>225.27999999999997</v>
      </c>
      <c r="F11" s="11">
        <f t="shared" si="12"/>
        <v>225.27999999999997</v>
      </c>
      <c r="G11" s="11">
        <f t="shared" si="12"/>
        <v>225.27999999999997</v>
      </c>
      <c r="H11" s="11">
        <f t="shared" si="12"/>
        <v>225.27999999999997</v>
      </c>
      <c r="I11" s="11">
        <f t="shared" si="12"/>
        <v>225.27999999999997</v>
      </c>
      <c r="J11" s="11">
        <f t="shared" si="12"/>
        <v>225.27999999999997</v>
      </c>
      <c r="K11" s="11">
        <f>219.89+5.39</f>
        <v>225.27999999999997</v>
      </c>
      <c r="L11" s="11">
        <f>219.88+5.39</f>
        <v>225.26999999999998</v>
      </c>
      <c r="M11" s="11">
        <f>219.88+5.39</f>
        <v>225.26999999999998</v>
      </c>
      <c r="N11" s="11">
        <f t="shared" si="10"/>
        <v>7445.8799999999974</v>
      </c>
    </row>
    <row r="12" spans="1:18" ht="24.75" customHeight="1" thickBot="1" x14ac:dyDescent="0.3">
      <c r="A12" s="4" t="s">
        <v>20</v>
      </c>
      <c r="B12" s="11">
        <f>3050.47+80.91</f>
        <v>3131.3799999999997</v>
      </c>
      <c r="C12" s="11">
        <v>0</v>
      </c>
      <c r="D12" s="11">
        <f>5606.79+148.34</f>
        <v>5755.13</v>
      </c>
      <c r="E12" s="11">
        <v>0</v>
      </c>
      <c r="F12" s="11">
        <f>10973.72+289.48</f>
        <v>11263.199999999999</v>
      </c>
      <c r="G12" s="11">
        <f>1362.28+35.96</f>
        <v>1398.24</v>
      </c>
      <c r="H12" s="11">
        <f>541.97+14.38</f>
        <v>556.35</v>
      </c>
      <c r="I12" s="11">
        <f>839.37+22.48</f>
        <v>861.85</v>
      </c>
      <c r="J12" s="11">
        <f>3870.54+102.49</f>
        <v>3973.0299999999997</v>
      </c>
      <c r="K12" s="11">
        <f>7860.95+207.67</f>
        <v>8068.62</v>
      </c>
      <c r="L12" s="11">
        <v>0</v>
      </c>
      <c r="M12" s="11">
        <f>1582.71+41.35</f>
        <v>1624.06</v>
      </c>
      <c r="N12" s="11">
        <f t="shared" si="10"/>
        <v>36631.859999999993</v>
      </c>
    </row>
    <row r="13" spans="1:18" ht="24.75" customHeight="1" thickBot="1" x14ac:dyDescent="0.3">
      <c r="A13" s="4" t="s">
        <v>27</v>
      </c>
      <c r="B13" s="11">
        <f>3922.13+123.16</f>
        <v>4045.29</v>
      </c>
      <c r="C13" s="11">
        <f t="shared" ref="C13:J13" si="13">424.27+10.79</f>
        <v>435.06</v>
      </c>
      <c r="D13" s="11">
        <f t="shared" si="13"/>
        <v>435.06</v>
      </c>
      <c r="E13" s="11">
        <f t="shared" si="13"/>
        <v>435.06</v>
      </c>
      <c r="F13" s="11">
        <f t="shared" si="13"/>
        <v>435.06</v>
      </c>
      <c r="G13" s="11">
        <f t="shared" si="13"/>
        <v>435.06</v>
      </c>
      <c r="H13" s="11">
        <f t="shared" si="13"/>
        <v>435.06</v>
      </c>
      <c r="I13" s="11">
        <f t="shared" si="13"/>
        <v>435.06</v>
      </c>
      <c r="J13" s="11">
        <f t="shared" si="13"/>
        <v>435.06</v>
      </c>
      <c r="K13" s="11">
        <f>424.27+10.79</f>
        <v>435.06</v>
      </c>
      <c r="L13" s="11">
        <f>424.27+10.79</f>
        <v>435.06</v>
      </c>
      <c r="M13" s="11">
        <f>424.27+10.79</f>
        <v>435.06</v>
      </c>
      <c r="N13" s="11">
        <f t="shared" si="10"/>
        <v>8830.9500000000025</v>
      </c>
    </row>
    <row r="14" spans="1:18" ht="24.75" customHeight="1" thickBot="1" x14ac:dyDescent="0.3">
      <c r="A14" s="4" t="s">
        <v>43</v>
      </c>
      <c r="B14" s="11">
        <f t="shared" ref="B14:G14" si="14">5617.92+70</f>
        <v>5687.92</v>
      </c>
      <c r="C14" s="11">
        <f t="shared" si="14"/>
        <v>5687.92</v>
      </c>
      <c r="D14" s="11">
        <f t="shared" si="14"/>
        <v>5687.92</v>
      </c>
      <c r="E14" s="11">
        <f t="shared" si="14"/>
        <v>5687.92</v>
      </c>
      <c r="F14" s="11">
        <f t="shared" si="14"/>
        <v>5687.92</v>
      </c>
      <c r="G14" s="11">
        <f t="shared" si="14"/>
        <v>5687.92</v>
      </c>
      <c r="H14" s="11">
        <f t="shared" ref="H14:M14" si="15">5617.92+70</f>
        <v>5687.92</v>
      </c>
      <c r="I14" s="11">
        <f t="shared" si="15"/>
        <v>5687.92</v>
      </c>
      <c r="J14" s="11">
        <f t="shared" si="15"/>
        <v>5687.92</v>
      </c>
      <c r="K14" s="11">
        <f t="shared" si="15"/>
        <v>5687.92</v>
      </c>
      <c r="L14" s="11">
        <f t="shared" si="15"/>
        <v>5687.92</v>
      </c>
      <c r="M14" s="11">
        <f t="shared" si="15"/>
        <v>5687.92</v>
      </c>
      <c r="N14" s="11">
        <f t="shared" si="10"/>
        <v>68255.039999999994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870</v>
      </c>
      <c r="J15" s="11">
        <v>870</v>
      </c>
      <c r="K15" s="11">
        <v>870</v>
      </c>
      <c r="L15" s="11">
        <v>870</v>
      </c>
      <c r="M15" s="11">
        <v>870</v>
      </c>
      <c r="N15" s="11">
        <f t="shared" si="10"/>
        <v>10440</v>
      </c>
    </row>
    <row r="16" spans="1:18" ht="20.25" customHeight="1" thickBot="1" x14ac:dyDescent="0.3">
      <c r="A16" s="12" t="s">
        <v>8</v>
      </c>
      <c r="B16" s="13">
        <f t="shared" ref="B16:M16" si="16">SUM(B17:B24)</f>
        <v>71057.72</v>
      </c>
      <c r="C16" s="13">
        <f t="shared" si="16"/>
        <v>84414.040000000008</v>
      </c>
      <c r="D16" s="13">
        <f t="shared" si="16"/>
        <v>63327.349999999991</v>
      </c>
      <c r="E16" s="13">
        <f t="shared" si="16"/>
        <v>71855.649999999994</v>
      </c>
      <c r="F16" s="13">
        <f t="shared" si="16"/>
        <v>68269.970000000016</v>
      </c>
      <c r="G16" s="13">
        <f t="shared" si="16"/>
        <v>74672.260000000009</v>
      </c>
      <c r="H16" s="13">
        <f t="shared" si="16"/>
        <v>68011.72</v>
      </c>
      <c r="I16" s="13">
        <f t="shared" si="16"/>
        <v>73164.509999999995</v>
      </c>
      <c r="J16" s="13">
        <f t="shared" si="16"/>
        <v>90392.360000000015</v>
      </c>
      <c r="K16" s="13">
        <f t="shared" si="16"/>
        <v>77442.23</v>
      </c>
      <c r="L16" s="13">
        <f t="shared" si="16"/>
        <v>99100.14</v>
      </c>
      <c r="M16" s="13">
        <f t="shared" si="16"/>
        <v>88308.870000000024</v>
      </c>
      <c r="N16" s="13">
        <f>SUM(B16:M16)</f>
        <v>930016.82000000007</v>
      </c>
    </row>
    <row r="17" spans="1:15" ht="24" customHeight="1" thickBot="1" x14ac:dyDescent="0.3">
      <c r="A17" s="4" t="s">
        <v>29</v>
      </c>
      <c r="B17" s="11">
        <f>58560.55+1224.07</f>
        <v>59784.62</v>
      </c>
      <c r="C17" s="11">
        <f>60370.9+1287.18</f>
        <v>61658.080000000002</v>
      </c>
      <c r="D17" s="11">
        <f>53462.88+1191.13</f>
        <v>54654.009999999995</v>
      </c>
      <c r="E17" s="11">
        <f>54168.21+1147.74</f>
        <v>55315.95</v>
      </c>
      <c r="F17" s="11">
        <f>59235.41+1225.1</f>
        <v>60460.51</v>
      </c>
      <c r="G17" s="11">
        <f>55075.18+1193.28</f>
        <v>56268.46</v>
      </c>
      <c r="H17" s="11">
        <f>55122.29+1157.82+521.52</f>
        <v>56801.63</v>
      </c>
      <c r="I17" s="11">
        <f>62042.2+1388.35</f>
        <v>63430.549999999996</v>
      </c>
      <c r="J17" s="11">
        <f>78305.16+1383.7</f>
        <v>79688.86</v>
      </c>
      <c r="K17" s="11">
        <f>65022.21+1174.71</f>
        <v>66196.92</v>
      </c>
      <c r="L17" s="11">
        <f>79245.14+1446.76</f>
        <v>80691.899999999994</v>
      </c>
      <c r="M17" s="11">
        <f>69136.01+1231.78</f>
        <v>70367.789999999994</v>
      </c>
      <c r="N17" s="11">
        <f t="shared" ref="N17:N24" si="17">SUM(B17:M17)</f>
        <v>765319.28000000014</v>
      </c>
    </row>
    <row r="18" spans="1:15" ht="26.25" customHeight="1" thickBot="1" x14ac:dyDescent="0.3">
      <c r="A18" s="4" t="s">
        <v>17</v>
      </c>
      <c r="B18" s="11">
        <v>0</v>
      </c>
      <c r="C18" s="11">
        <v>3344.28</v>
      </c>
      <c r="D18" s="11">
        <v>0</v>
      </c>
      <c r="E18" s="11">
        <v>3344.28</v>
      </c>
      <c r="F18" s="11">
        <v>0</v>
      </c>
      <c r="G18" s="11">
        <v>1672.14</v>
      </c>
      <c r="H18" s="11">
        <f>1672.14+1672.14</f>
        <v>3344.28</v>
      </c>
      <c r="I18" s="11">
        <v>1672.14</v>
      </c>
      <c r="J18" s="11">
        <v>2006.57</v>
      </c>
      <c r="K18" s="11">
        <v>0</v>
      </c>
      <c r="L18" s="11">
        <f>2006.57</f>
        <v>2006.57</v>
      </c>
      <c r="M18" s="11">
        <v>2006.57</v>
      </c>
      <c r="N18" s="11">
        <f t="shared" si="17"/>
        <v>19396.830000000002</v>
      </c>
    </row>
    <row r="19" spans="1:15" ht="26.25" customHeight="1" thickBot="1" x14ac:dyDescent="0.3">
      <c r="A19" s="4" t="s">
        <v>18</v>
      </c>
      <c r="B19" s="11">
        <v>86.28</v>
      </c>
      <c r="C19" s="11">
        <v>36.86</v>
      </c>
      <c r="D19" s="11">
        <v>414.61</v>
      </c>
      <c r="E19" s="11">
        <f>31.46+12.59</f>
        <v>44.05</v>
      </c>
      <c r="F19" s="11">
        <v>796.01</v>
      </c>
      <c r="G19" s="11">
        <f>744.63+24.27</f>
        <v>768.9</v>
      </c>
      <c r="H19" s="11">
        <f>33.03+22.48</f>
        <v>55.510000000000005</v>
      </c>
      <c r="I19" s="11">
        <v>65.510000000000005</v>
      </c>
      <c r="J19" s="11">
        <v>92.16</v>
      </c>
      <c r="K19" s="11">
        <v>6.37</v>
      </c>
      <c r="L19" s="11">
        <v>18.05</v>
      </c>
      <c r="M19" s="11">
        <v>9132.16</v>
      </c>
      <c r="N19" s="11">
        <f t="shared" si="17"/>
        <v>11516.470000000001</v>
      </c>
    </row>
    <row r="20" spans="1:15" ht="26.25" customHeight="1" thickBot="1" x14ac:dyDescent="0.3">
      <c r="A20" s="4" t="s">
        <v>19</v>
      </c>
      <c r="B20" s="11">
        <v>2781.08</v>
      </c>
      <c r="C20" s="11">
        <f>4437.28+81.81+127.66</f>
        <v>4646.75</v>
      </c>
      <c r="D20" s="11">
        <v>292.13</v>
      </c>
      <c r="E20" s="11">
        <f>217.76+10.78</f>
        <v>228.54</v>
      </c>
      <c r="F20" s="11">
        <v>319.26</v>
      </c>
      <c r="G20" s="11">
        <f>233.16+5.39</f>
        <v>238.54999999999998</v>
      </c>
      <c r="H20" s="11">
        <f>214.1+5.39*2</f>
        <v>224.88</v>
      </c>
      <c r="I20" s="11">
        <f>239.65+5.39</f>
        <v>245.04</v>
      </c>
      <c r="J20" s="11">
        <f>428.95+5.39</f>
        <v>434.34</v>
      </c>
      <c r="K20" s="11">
        <v>200.77</v>
      </c>
      <c r="L20" s="11">
        <f>244.76+5.39</f>
        <v>250.14999999999998</v>
      </c>
      <c r="M20" s="11">
        <f>249.71+5.39</f>
        <v>255.1</v>
      </c>
      <c r="N20" s="11">
        <f t="shared" si="17"/>
        <v>10116.59</v>
      </c>
    </row>
    <row r="21" spans="1:15" ht="26.25" customHeight="1" thickBot="1" x14ac:dyDescent="0.3">
      <c r="A21" s="4" t="s">
        <v>20</v>
      </c>
      <c r="B21" s="11">
        <v>148.01</v>
      </c>
      <c r="C21" s="11">
        <f>2704.42+80.91</f>
        <v>2785.33</v>
      </c>
      <c r="D21" s="11">
        <v>80.06</v>
      </c>
      <c r="E21" s="11">
        <f>4585.18+148.34</f>
        <v>4733.5200000000004</v>
      </c>
      <c r="F21" s="11">
        <v>304.87</v>
      </c>
      <c r="G21" s="11">
        <v>9203.2099999999991</v>
      </c>
      <c r="H21" s="11">
        <f>1322.78+289.48+35.96</f>
        <v>1648.22</v>
      </c>
      <c r="I21" s="11">
        <f>912.39+14.38</f>
        <v>926.77</v>
      </c>
      <c r="J21" s="11">
        <f>1310.15+22.48</f>
        <v>1332.63</v>
      </c>
      <c r="K21" s="11">
        <v>3266.42</v>
      </c>
      <c r="L21" s="11">
        <f>7434.39+102.49</f>
        <v>7536.88</v>
      </c>
      <c r="M21" s="11">
        <f>159.4+207.67</f>
        <v>367.07</v>
      </c>
      <c r="N21" s="11">
        <f t="shared" si="17"/>
        <v>32332.99</v>
      </c>
    </row>
    <row r="22" spans="1:15" ht="26.25" customHeight="1" thickBot="1" x14ac:dyDescent="0.3">
      <c r="A22" s="4" t="s">
        <v>27</v>
      </c>
      <c r="B22" s="11">
        <v>2613.67</v>
      </c>
      <c r="C22" s="11">
        <f>3628.92+21.58</f>
        <v>3650.5</v>
      </c>
      <c r="D22" s="11">
        <v>423.5</v>
      </c>
      <c r="E22" s="11">
        <f>370.5+21.58</f>
        <v>392.08</v>
      </c>
      <c r="F22" s="11">
        <v>463.48</v>
      </c>
      <c r="G22" s="11">
        <f>379.33+10.79</f>
        <v>390.12</v>
      </c>
      <c r="H22" s="11">
        <f>375.11+10.79*2</f>
        <v>396.69</v>
      </c>
      <c r="I22" s="11">
        <f>421.87+10.79</f>
        <v>432.66</v>
      </c>
      <c r="J22" s="11">
        <f>539.49+10.79</f>
        <v>550.28</v>
      </c>
      <c r="K22" s="11">
        <v>366.95</v>
      </c>
      <c r="L22" s="11">
        <f>450.93+10.79</f>
        <v>461.72</v>
      </c>
      <c r="M22" s="11">
        <f>402.17+10.79</f>
        <v>412.96000000000004</v>
      </c>
      <c r="N22" s="11">
        <f t="shared" si="17"/>
        <v>10554.61</v>
      </c>
    </row>
    <row r="23" spans="1:15" ht="26.25" customHeight="1" thickBot="1" x14ac:dyDescent="0.3">
      <c r="A23" s="4" t="s">
        <v>43</v>
      </c>
      <c r="B23" s="11">
        <v>5044.0600000000004</v>
      </c>
      <c r="C23" s="11">
        <f>5352.24+140</f>
        <v>5492.24</v>
      </c>
      <c r="D23" s="11">
        <v>4663.04</v>
      </c>
      <c r="E23" s="11">
        <f>4657.23+140</f>
        <v>4797.2299999999996</v>
      </c>
      <c r="F23" s="11">
        <v>5045.84</v>
      </c>
      <c r="G23" s="11">
        <f>4860.88+70</f>
        <v>4930.88</v>
      </c>
      <c r="H23" s="11">
        <f>4800.51+70*2</f>
        <v>4940.51</v>
      </c>
      <c r="I23" s="11">
        <f>5721.84+70</f>
        <v>5791.84</v>
      </c>
      <c r="J23" s="11">
        <f>5617.52+70</f>
        <v>5687.52</v>
      </c>
      <c r="K23" s="11">
        <v>6804.8</v>
      </c>
      <c r="L23" s="11">
        <f>7464.87+70</f>
        <v>7534.87</v>
      </c>
      <c r="M23" s="11">
        <f>5097.22+70</f>
        <v>5167.22</v>
      </c>
      <c r="N23" s="11">
        <f t="shared" si="17"/>
        <v>65900.05</v>
      </c>
    </row>
    <row r="24" spans="1:15" ht="26.25" customHeight="1" thickBot="1" x14ac:dyDescent="0.3">
      <c r="A24" s="4" t="s">
        <v>15</v>
      </c>
      <c r="B24" s="14">
        <v>600</v>
      </c>
      <c r="C24" s="14">
        <v>2800</v>
      </c>
      <c r="D24" s="14">
        <v>2800</v>
      </c>
      <c r="E24" s="14">
        <v>3000</v>
      </c>
      <c r="F24" s="14">
        <v>880</v>
      </c>
      <c r="G24" s="14">
        <v>1200</v>
      </c>
      <c r="H24" s="14">
        <v>600</v>
      </c>
      <c r="I24" s="14">
        <v>600</v>
      </c>
      <c r="J24" s="14">
        <v>600</v>
      </c>
      <c r="K24" s="14">
        <v>600</v>
      </c>
      <c r="L24" s="14">
        <v>600</v>
      </c>
      <c r="M24" s="14">
        <v>600</v>
      </c>
      <c r="N24" s="11">
        <f t="shared" si="17"/>
        <v>14880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3615.9*0.6</f>
        <v>2169.54</v>
      </c>
      <c r="C26" s="11">
        <f t="shared" ref="C26:M26" si="18">3615.9*0.6</f>
        <v>2169.54</v>
      </c>
      <c r="D26" s="11">
        <f t="shared" si="18"/>
        <v>2169.54</v>
      </c>
      <c r="E26" s="11">
        <f t="shared" si="18"/>
        <v>2169.54</v>
      </c>
      <c r="F26" s="11">
        <f t="shared" si="18"/>
        <v>2169.54</v>
      </c>
      <c r="G26" s="11">
        <f t="shared" si="18"/>
        <v>2169.54</v>
      </c>
      <c r="H26" s="11">
        <f t="shared" si="18"/>
        <v>2169.54</v>
      </c>
      <c r="I26" s="11">
        <f t="shared" si="18"/>
        <v>2169.54</v>
      </c>
      <c r="J26" s="11">
        <f t="shared" si="18"/>
        <v>2169.54</v>
      </c>
      <c r="K26" s="11">
        <f t="shared" si="18"/>
        <v>2169.54</v>
      </c>
      <c r="L26" s="11">
        <f t="shared" si="18"/>
        <v>2169.54</v>
      </c>
      <c r="M26" s="11">
        <f t="shared" si="18"/>
        <v>2169.54</v>
      </c>
      <c r="N26" s="11">
        <f>SUM(B26:M26)</f>
        <v>26034.480000000007</v>
      </c>
    </row>
    <row r="27" spans="1:15" ht="22.5" customHeight="1" thickBot="1" x14ac:dyDescent="0.3">
      <c r="A27" s="4" t="s">
        <v>2</v>
      </c>
      <c r="B27" s="11">
        <f t="shared" ref="B27:M27" si="19">3615.9*0.17</f>
        <v>614.70300000000009</v>
      </c>
      <c r="C27" s="11">
        <f t="shared" si="19"/>
        <v>614.70300000000009</v>
      </c>
      <c r="D27" s="11">
        <f t="shared" si="19"/>
        <v>614.70300000000009</v>
      </c>
      <c r="E27" s="11">
        <f t="shared" si="19"/>
        <v>614.70300000000009</v>
      </c>
      <c r="F27" s="11">
        <f t="shared" si="19"/>
        <v>614.70300000000009</v>
      </c>
      <c r="G27" s="11">
        <f t="shared" si="19"/>
        <v>614.70300000000009</v>
      </c>
      <c r="H27" s="11">
        <f t="shared" si="19"/>
        <v>614.70300000000009</v>
      </c>
      <c r="I27" s="11">
        <f t="shared" si="19"/>
        <v>614.70300000000009</v>
      </c>
      <c r="J27" s="11">
        <f t="shared" si="19"/>
        <v>614.70300000000009</v>
      </c>
      <c r="K27" s="11">
        <f t="shared" si="19"/>
        <v>614.70300000000009</v>
      </c>
      <c r="L27" s="11">
        <f t="shared" si="19"/>
        <v>614.70300000000009</v>
      </c>
      <c r="M27" s="11">
        <f t="shared" si="19"/>
        <v>614.70300000000009</v>
      </c>
      <c r="N27" s="11">
        <f>SUM(B27:M27)</f>
        <v>7376.4360000000024</v>
      </c>
    </row>
    <row r="28" spans="1:15" ht="21" customHeight="1" thickBot="1" x14ac:dyDescent="0.3">
      <c r="A28" s="4" t="s">
        <v>3</v>
      </c>
      <c r="B28" s="11">
        <f>82003.76*2.3%</f>
        <v>1886.0864799999999</v>
      </c>
      <c r="C28" s="11">
        <f>71326.92*2.3%</f>
        <v>1640.5191599999998</v>
      </c>
      <c r="D28" s="11">
        <f>76441.95*2.3%</f>
        <v>1758.1648499999999</v>
      </c>
      <c r="E28" s="11">
        <f>71757.93*2.3%</f>
        <v>1650.4323899999997</v>
      </c>
      <c r="F28" s="11">
        <f>82661.4*2.3%</f>
        <v>1901.2121999999999</v>
      </c>
      <c r="G28" s="11">
        <f>72197.44*2.3%</f>
        <v>1660.5411200000001</v>
      </c>
      <c r="H28" s="11">
        <f>71377.13*2.3%</f>
        <v>1641.67399</v>
      </c>
      <c r="I28" s="11">
        <f>84324.41*2.3%</f>
        <v>1939.4614300000001</v>
      </c>
      <c r="J28" s="11">
        <f>87355.58*2.3%</f>
        <v>2009.1783399999999</v>
      </c>
      <c r="K28" s="11">
        <f>91345.99*2.3%</f>
        <v>2100.95777</v>
      </c>
      <c r="L28" s="11">
        <f>93752.9*2.3%</f>
        <v>2156.3166999999999</v>
      </c>
      <c r="M28" s="11">
        <f>102528.9*2.3%</f>
        <v>2358.1646999999998</v>
      </c>
      <c r="N28" s="11">
        <f t="shared" ref="N28:N40" si="20">SUM(B28:M28)</f>
        <v>22702.709129999999</v>
      </c>
    </row>
    <row r="29" spans="1:15" ht="23.25" customHeight="1" thickBot="1" x14ac:dyDescent="0.3">
      <c r="A29" s="4" t="s">
        <v>4</v>
      </c>
      <c r="B29" s="11">
        <f>70457.72*3%</f>
        <v>2113.7316000000001</v>
      </c>
      <c r="C29" s="11">
        <f>77817.8*3%</f>
        <v>2334.5340000000001</v>
      </c>
      <c r="D29" s="11">
        <f>60527.35*3%</f>
        <v>1815.8204999999998</v>
      </c>
      <c r="E29" s="11">
        <f>65178.08*3%</f>
        <v>1955.3424</v>
      </c>
      <c r="F29" s="11">
        <f>67389.97*3%</f>
        <v>2021.6991</v>
      </c>
      <c r="G29" s="11">
        <f>71689.67*3%</f>
        <v>2150.6900999999998</v>
      </c>
      <c r="H29" s="11">
        <f>63547.16*3%</f>
        <v>1906.4148</v>
      </c>
      <c r="I29" s="11">
        <f>70791.81*3%</f>
        <v>2123.7543000000001</v>
      </c>
      <c r="J29" s="11">
        <f>87677.13*3%</f>
        <v>2630.3139000000001</v>
      </c>
      <c r="K29" s="11">
        <f>76842.23*3%</f>
        <v>2305.2668999999996</v>
      </c>
      <c r="L29" s="11">
        <f>96304.9*3%</f>
        <v>2889.1469999999999</v>
      </c>
      <c r="M29" s="11">
        <f>85408.45*3%</f>
        <v>2562.2534999999998</v>
      </c>
      <c r="N29" s="11">
        <f t="shared" si="20"/>
        <v>26808.968099999998</v>
      </c>
    </row>
    <row r="30" spans="1:15" ht="23.25" customHeight="1" thickBot="1" x14ac:dyDescent="0.3">
      <c r="A30" s="4" t="s">
        <v>9</v>
      </c>
      <c r="B30" s="21">
        <f t="shared" ref="B30:M30" si="21">3615.9*9.7</f>
        <v>35074.229999999996</v>
      </c>
      <c r="C30" s="21">
        <f t="shared" si="21"/>
        <v>35074.229999999996</v>
      </c>
      <c r="D30" s="21">
        <f t="shared" si="21"/>
        <v>35074.229999999996</v>
      </c>
      <c r="E30" s="21">
        <f t="shared" si="21"/>
        <v>35074.229999999996</v>
      </c>
      <c r="F30" s="21">
        <f t="shared" si="21"/>
        <v>35074.229999999996</v>
      </c>
      <c r="G30" s="21">
        <f t="shared" si="21"/>
        <v>35074.229999999996</v>
      </c>
      <c r="H30" s="21">
        <f t="shared" si="21"/>
        <v>35074.229999999996</v>
      </c>
      <c r="I30" s="21">
        <f t="shared" si="21"/>
        <v>35074.229999999996</v>
      </c>
      <c r="J30" s="21">
        <f t="shared" si="21"/>
        <v>35074.229999999996</v>
      </c>
      <c r="K30" s="21">
        <f t="shared" si="21"/>
        <v>35074.229999999996</v>
      </c>
      <c r="L30" s="21">
        <f t="shared" si="21"/>
        <v>35074.229999999996</v>
      </c>
      <c r="M30" s="21">
        <f t="shared" si="21"/>
        <v>35074.229999999996</v>
      </c>
      <c r="N30" s="11">
        <f t="shared" si="20"/>
        <v>420890.75999999983</v>
      </c>
    </row>
    <row r="31" spans="1:15" ht="26.25" customHeight="1" thickBot="1" x14ac:dyDescent="0.3">
      <c r="A31" s="4" t="s">
        <v>21</v>
      </c>
      <c r="B31" s="11">
        <f>513.5+9.39</f>
        <v>522.89</v>
      </c>
      <c r="C31" s="11">
        <v>0</v>
      </c>
      <c r="D31" s="11">
        <f>981.26+0.03</f>
        <v>981.29</v>
      </c>
      <c r="E31" s="11">
        <f>906.45+0.01</f>
        <v>906.46</v>
      </c>
      <c r="F31" s="11">
        <v>0</v>
      </c>
      <c r="G31" s="11">
        <v>0</v>
      </c>
      <c r="H31" s="11">
        <v>0</v>
      </c>
      <c r="I31" s="11">
        <v>0</v>
      </c>
      <c r="J31" s="11">
        <f>0.22+0.02</f>
        <v>0.24</v>
      </c>
      <c r="K31" s="11">
        <f>10937.74+0.03</f>
        <v>10937.77</v>
      </c>
      <c r="L31" s="11">
        <f>17294.41+1292.47</f>
        <v>18586.88</v>
      </c>
      <c r="M31" s="11">
        <f>5861.82+745.65</f>
        <v>6607.4699999999993</v>
      </c>
      <c r="N31" s="11">
        <f t="shared" si="20"/>
        <v>38543</v>
      </c>
    </row>
    <row r="32" spans="1:15" ht="26.25" customHeight="1" thickBot="1" x14ac:dyDescent="0.3">
      <c r="A32" s="4" t="s">
        <v>22</v>
      </c>
      <c r="B32" s="11">
        <v>350.74</v>
      </c>
      <c r="C32" s="11">
        <v>350.74</v>
      </c>
      <c r="D32" s="11">
        <v>350.74</v>
      </c>
      <c r="E32" s="11">
        <v>350.74</v>
      </c>
      <c r="F32" s="11">
        <v>350.74</v>
      </c>
      <c r="G32" s="11">
        <v>350.74</v>
      </c>
      <c r="H32" s="11">
        <v>350.74</v>
      </c>
      <c r="I32" s="11">
        <v>350.74</v>
      </c>
      <c r="J32" s="11">
        <v>350.74</v>
      </c>
      <c r="K32" s="11">
        <v>350.74</v>
      </c>
      <c r="L32" s="11">
        <v>350.74</v>
      </c>
      <c r="M32" s="11">
        <v>350.74</v>
      </c>
      <c r="N32" s="11">
        <f t="shared" si="20"/>
        <v>4208.8799999999992</v>
      </c>
    </row>
    <row r="33" spans="1:14" ht="26.25" customHeight="1" thickBot="1" x14ac:dyDescent="0.3">
      <c r="A33" s="4" t="s">
        <v>23</v>
      </c>
      <c r="B33" s="11">
        <v>0</v>
      </c>
      <c r="C33" s="11">
        <v>5961.9</v>
      </c>
      <c r="D33" s="11">
        <v>0</v>
      </c>
      <c r="E33" s="11">
        <v>11668.8</v>
      </c>
      <c r="F33" s="11">
        <v>1448.4</v>
      </c>
      <c r="G33" s="11">
        <v>576.29999999999995</v>
      </c>
      <c r="H33" s="11">
        <v>892.5</v>
      </c>
      <c r="I33" s="11">
        <v>4115.7</v>
      </c>
      <c r="J33" s="11">
        <v>8358.9</v>
      </c>
      <c r="K33" s="11">
        <v>0</v>
      </c>
      <c r="L33" s="11">
        <v>1683</v>
      </c>
      <c r="M33" s="11">
        <v>270.3</v>
      </c>
      <c r="N33" s="11">
        <f t="shared" si="20"/>
        <v>34975.800000000003</v>
      </c>
    </row>
    <row r="34" spans="1:14" ht="26.25" customHeight="1" thickBot="1" x14ac:dyDescent="0.3">
      <c r="A34" s="4" t="s">
        <v>27</v>
      </c>
      <c r="B34" s="11">
        <v>451.19</v>
      </c>
      <c r="C34" s="11">
        <v>451.19</v>
      </c>
      <c r="D34" s="11">
        <v>451.19</v>
      </c>
      <c r="E34" s="11">
        <v>451.19</v>
      </c>
      <c r="F34" s="11">
        <v>451.19</v>
      </c>
      <c r="G34" s="11">
        <v>451.19</v>
      </c>
      <c r="H34" s="11">
        <v>451.19</v>
      </c>
      <c r="I34" s="11">
        <v>451.19</v>
      </c>
      <c r="J34" s="11">
        <v>451.19</v>
      </c>
      <c r="K34" s="11">
        <v>451.19</v>
      </c>
      <c r="L34" s="11">
        <v>451.19</v>
      </c>
      <c r="M34" s="11">
        <v>451.19</v>
      </c>
      <c r="N34" s="11">
        <f t="shared" si="20"/>
        <v>5414.2799999999988</v>
      </c>
    </row>
    <row r="35" spans="1:14" ht="22.5" customHeight="1" thickBot="1" x14ac:dyDescent="0.3">
      <c r="A35" s="4" t="s">
        <v>6</v>
      </c>
      <c r="B35" s="21">
        <f t="shared" ref="B35:H35" si="22">3615.9*2.79</f>
        <v>10088.361000000001</v>
      </c>
      <c r="C35" s="21">
        <f t="shared" si="22"/>
        <v>10088.361000000001</v>
      </c>
      <c r="D35" s="21">
        <f t="shared" si="22"/>
        <v>10088.361000000001</v>
      </c>
      <c r="E35" s="21">
        <f t="shared" si="22"/>
        <v>10088.361000000001</v>
      </c>
      <c r="F35" s="21">
        <f t="shared" si="22"/>
        <v>10088.361000000001</v>
      </c>
      <c r="G35" s="21">
        <f t="shared" si="22"/>
        <v>10088.361000000001</v>
      </c>
      <c r="H35" s="21">
        <f t="shared" si="22"/>
        <v>10088.361000000001</v>
      </c>
      <c r="I35" s="21">
        <f>3615.9*3.35</f>
        <v>12113.265000000001</v>
      </c>
      <c r="J35" s="21">
        <f>3615.9*3.35</f>
        <v>12113.265000000001</v>
      </c>
      <c r="K35" s="21">
        <f t="shared" ref="K35:M35" si="23">3615.9*3.35</f>
        <v>12113.265000000001</v>
      </c>
      <c r="L35" s="21">
        <f t="shared" si="23"/>
        <v>12113.265000000001</v>
      </c>
      <c r="M35" s="21">
        <f t="shared" si="23"/>
        <v>12113.265000000001</v>
      </c>
      <c r="N35" s="11">
        <f t="shared" si="20"/>
        <v>131184.85200000001</v>
      </c>
    </row>
    <row r="36" spans="1:14" ht="21.75" customHeight="1" thickBot="1" x14ac:dyDescent="0.3">
      <c r="A36" s="4" t="s">
        <v>43</v>
      </c>
      <c r="B36" s="11">
        <v>5125</v>
      </c>
      <c r="C36" s="11">
        <v>4575</v>
      </c>
      <c r="D36" s="11">
        <v>5120</v>
      </c>
      <c r="E36" s="11">
        <v>4440</v>
      </c>
      <c r="F36" s="11">
        <v>4885</v>
      </c>
      <c r="G36" s="11">
        <v>4530</v>
      </c>
      <c r="H36" s="11">
        <v>4685</v>
      </c>
      <c r="I36" s="11">
        <v>5490</v>
      </c>
      <c r="J36" s="11">
        <v>5460</v>
      </c>
      <c r="K36" s="11">
        <v>6445</v>
      </c>
      <c r="L36" s="11">
        <v>7135</v>
      </c>
      <c r="M36" s="11">
        <v>4825</v>
      </c>
      <c r="N36" s="11">
        <f t="shared" si="20"/>
        <v>62715</v>
      </c>
    </row>
    <row r="37" spans="1:14" ht="22.8" customHeight="1" thickBot="1" x14ac:dyDescent="0.3">
      <c r="A37" s="4" t="s">
        <v>28</v>
      </c>
      <c r="B37" s="11">
        <v>495.67</v>
      </c>
      <c r="C37" s="11">
        <v>495.67</v>
      </c>
      <c r="D37" s="11">
        <v>495.67</v>
      </c>
      <c r="E37" s="11">
        <v>495.67</v>
      </c>
      <c r="F37" s="11">
        <v>495.67</v>
      </c>
      <c r="G37" s="11">
        <v>495.67</v>
      </c>
      <c r="H37" s="11">
        <v>495.67</v>
      </c>
      <c r="I37" s="11">
        <v>495.67</v>
      </c>
      <c r="J37" s="11">
        <v>495.67</v>
      </c>
      <c r="K37" s="11">
        <v>495.67</v>
      </c>
      <c r="L37" s="11">
        <v>495.67</v>
      </c>
      <c r="M37" s="11">
        <v>495.67</v>
      </c>
      <c r="N37" s="11">
        <f t="shared" si="20"/>
        <v>5948.04</v>
      </c>
    </row>
    <row r="38" spans="1:14" ht="24.75" customHeight="1" thickBot="1" x14ac:dyDescent="0.3">
      <c r="A38" s="4" t="s">
        <v>26</v>
      </c>
      <c r="B38" s="11">
        <v>900</v>
      </c>
      <c r="C38" s="11">
        <v>900</v>
      </c>
      <c r="D38" s="11">
        <v>900</v>
      </c>
      <c r="E38" s="11">
        <v>900</v>
      </c>
      <c r="F38" s="11">
        <v>900</v>
      </c>
      <c r="G38" s="11">
        <v>900</v>
      </c>
      <c r="H38" s="11">
        <v>900</v>
      </c>
      <c r="I38" s="11">
        <v>900</v>
      </c>
      <c r="J38" s="11">
        <v>900</v>
      </c>
      <c r="K38" s="11">
        <v>900</v>
      </c>
      <c r="L38" s="11">
        <v>900</v>
      </c>
      <c r="M38" s="11">
        <v>900</v>
      </c>
      <c r="N38" s="11">
        <f t="shared" si="20"/>
        <v>10800</v>
      </c>
    </row>
    <row r="39" spans="1:14" ht="24.75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13570.42</v>
      </c>
      <c r="J39" s="11">
        <v>0</v>
      </c>
      <c r="K39" s="11">
        <v>0</v>
      </c>
      <c r="L39" s="11">
        <v>0</v>
      </c>
      <c r="M39" s="11">
        <v>0</v>
      </c>
      <c r="N39" s="11">
        <f t="shared" si="20"/>
        <v>13570.42</v>
      </c>
    </row>
    <row r="40" spans="1:14" ht="24" customHeight="1" thickBot="1" x14ac:dyDescent="0.3">
      <c r="A40" s="4" t="s">
        <v>10</v>
      </c>
      <c r="B40" s="11">
        <f>33703+10129+962.6+896.9+538.6+701.2+9150.8+627.6</f>
        <v>56709.69999999999</v>
      </c>
      <c r="C40" s="11">
        <f>540.8</f>
        <v>540.79999999999995</v>
      </c>
      <c r="D40" s="11">
        <f>87858.75+14754.89+15394.8</f>
        <v>118008.44</v>
      </c>
      <c r="E40" s="11">
        <f>1412.8</f>
        <v>1412.8</v>
      </c>
      <c r="F40" s="11">
        <f>4017.98+1838.6+7755.7</f>
        <v>13612.279999999999</v>
      </c>
      <c r="G40" s="11">
        <v>0</v>
      </c>
      <c r="H40" s="11">
        <f>689.6+10638.6+1316.9+8454.8</f>
        <v>21099.9</v>
      </c>
      <c r="I40" s="11">
        <f>16274.7+902</f>
        <v>17176.7</v>
      </c>
      <c r="J40" s="11">
        <f>12462.4+943.3</f>
        <v>13405.699999999999</v>
      </c>
      <c r="K40" s="11">
        <f>1958.2+1025+1834.8+1517.7</f>
        <v>6335.7</v>
      </c>
      <c r="L40" s="11">
        <f>1203.7</f>
        <v>1203.7</v>
      </c>
      <c r="M40" s="11">
        <f>1130.2</f>
        <v>1130.2</v>
      </c>
      <c r="N40" s="11">
        <f t="shared" si="20"/>
        <v>250635.92000000004</v>
      </c>
    </row>
    <row r="41" spans="1:14" ht="22.5" customHeight="1" thickBot="1" x14ac:dyDescent="0.3">
      <c r="A41" s="9" t="s">
        <v>24</v>
      </c>
      <c r="B41" s="10">
        <f t="shared" ref="B41:M41" si="24">SUM(B26:B40)</f>
        <v>116501.84207999997</v>
      </c>
      <c r="C41" s="10">
        <f t="shared" si="24"/>
        <v>65197.187160000001</v>
      </c>
      <c r="D41" s="10">
        <f t="shared" si="24"/>
        <v>177828.14934999999</v>
      </c>
      <c r="E41" s="10">
        <f t="shared" si="24"/>
        <v>72178.268790000002</v>
      </c>
      <c r="F41" s="10">
        <f t="shared" si="24"/>
        <v>74013.025299999994</v>
      </c>
      <c r="G41" s="10">
        <f t="shared" si="24"/>
        <v>59061.965219999998</v>
      </c>
      <c r="H41" s="10">
        <f t="shared" si="24"/>
        <v>80369.922789999982</v>
      </c>
      <c r="I41" s="10">
        <f t="shared" si="24"/>
        <v>96585.373729999992</v>
      </c>
      <c r="J41" s="10">
        <f t="shared" si="24"/>
        <v>84033.670239999992</v>
      </c>
      <c r="K41" s="10">
        <f t="shared" si="24"/>
        <v>80294.032670000001</v>
      </c>
      <c r="L41" s="10">
        <f t="shared" si="24"/>
        <v>85823.381699999998</v>
      </c>
      <c r="M41" s="10">
        <f t="shared" si="24"/>
        <v>69922.726200000005</v>
      </c>
      <c r="N41" s="10">
        <f>SUM(B41:M41)</f>
        <v>1061809.5452299998</v>
      </c>
    </row>
    <row r="42" spans="1:14" ht="23.25" customHeight="1" thickBot="1" x14ac:dyDescent="0.3">
      <c r="A42" s="4" t="s">
        <v>5</v>
      </c>
      <c r="B42" s="18">
        <f t="shared" ref="B42:N42" si="25">B16-B41</f>
        <v>-45444.122079999972</v>
      </c>
      <c r="C42" s="18">
        <f t="shared" si="25"/>
        <v>19216.852840000007</v>
      </c>
      <c r="D42" s="18">
        <f t="shared" si="25"/>
        <v>-114500.79935</v>
      </c>
      <c r="E42" s="18">
        <f t="shared" si="25"/>
        <v>-322.61879000000772</v>
      </c>
      <c r="F42" s="18">
        <f t="shared" si="25"/>
        <v>-5743.0552999999782</v>
      </c>
      <c r="G42" s="18">
        <f t="shared" si="25"/>
        <v>15610.294780000011</v>
      </c>
      <c r="H42" s="18">
        <f t="shared" si="25"/>
        <v>-12358.202789999981</v>
      </c>
      <c r="I42" s="18">
        <f t="shared" si="25"/>
        <v>-23420.863729999997</v>
      </c>
      <c r="J42" s="18">
        <f t="shared" si="25"/>
        <v>6358.6897600000229</v>
      </c>
      <c r="K42" s="18">
        <f t="shared" si="25"/>
        <v>-2851.8026700000046</v>
      </c>
      <c r="L42" s="18">
        <f t="shared" si="25"/>
        <v>13276.758300000001</v>
      </c>
      <c r="M42" s="18">
        <f t="shared" si="25"/>
        <v>18386.14380000002</v>
      </c>
      <c r="N42" s="11">
        <f t="shared" si="25"/>
        <v>-131792.72522999975</v>
      </c>
    </row>
    <row r="43" spans="1:14" ht="23.25" customHeight="1" thickBot="1" x14ac:dyDescent="0.3">
      <c r="A43" s="4" t="s">
        <v>7</v>
      </c>
      <c r="B43" s="14">
        <f>B5+B42</f>
        <v>-292961.15207999997</v>
      </c>
      <c r="C43" s="19">
        <f>B43+C42</f>
        <v>-273744.29923999996</v>
      </c>
      <c r="D43" s="19">
        <f>C43+D42</f>
        <v>-388245.09858999995</v>
      </c>
      <c r="E43" s="14">
        <f>D43+E42</f>
        <v>-388567.71737999993</v>
      </c>
      <c r="F43" s="19">
        <f>E43+F42</f>
        <v>-394310.77267999994</v>
      </c>
      <c r="G43" s="19">
        <f t="shared" ref="G43:N43" si="26">G5+G42</f>
        <v>-378700.47789999994</v>
      </c>
      <c r="H43" s="19">
        <f t="shared" si="26"/>
        <v>-391058.68068999995</v>
      </c>
      <c r="I43" s="19">
        <f t="shared" si="26"/>
        <v>-414479.54441999993</v>
      </c>
      <c r="J43" s="19">
        <f t="shared" si="26"/>
        <v>-408120.8546599999</v>
      </c>
      <c r="K43" s="19">
        <f t="shared" si="26"/>
        <v>-410972.6573299999</v>
      </c>
      <c r="L43" s="19">
        <f t="shared" si="26"/>
        <v>-397695.89902999991</v>
      </c>
      <c r="M43" s="19">
        <f t="shared" si="26"/>
        <v>-379309.75522999989</v>
      </c>
      <c r="N43" s="18">
        <f t="shared" si="26"/>
        <v>-379309.75522999978</v>
      </c>
    </row>
    <row r="44" spans="1:14" ht="27" customHeight="1" thickBot="1" x14ac:dyDescent="0.3">
      <c r="A44" s="15" t="s">
        <v>11</v>
      </c>
      <c r="B44" s="20">
        <f t="shared" ref="B44:N44" si="27">B6+B16-B7</f>
        <v>-342470.92000000004</v>
      </c>
      <c r="C44" s="20">
        <f t="shared" si="27"/>
        <v>-334359.01</v>
      </c>
      <c r="D44" s="20">
        <f t="shared" si="27"/>
        <v>-352584.57000000007</v>
      </c>
      <c r="E44" s="20">
        <f t="shared" si="27"/>
        <v>-357473.74000000005</v>
      </c>
      <c r="F44" s="20">
        <f t="shared" si="27"/>
        <v>-377139.75</v>
      </c>
      <c r="G44" s="20">
        <f t="shared" si="27"/>
        <v>-379663.51</v>
      </c>
      <c r="H44" s="20">
        <f t="shared" si="27"/>
        <v>-388005.92000000004</v>
      </c>
      <c r="I44" s="20">
        <f t="shared" si="27"/>
        <v>-404952.21</v>
      </c>
      <c r="J44" s="20">
        <f t="shared" si="27"/>
        <v>-407781.82999999996</v>
      </c>
      <c r="K44" s="20">
        <f t="shared" si="27"/>
        <v>-427657.16999999993</v>
      </c>
      <c r="L44" s="20">
        <f t="shared" si="27"/>
        <v>-428346.23999999993</v>
      </c>
      <c r="M44" s="20">
        <f t="shared" si="27"/>
        <v>-448833.61999999988</v>
      </c>
      <c r="N44" s="17">
        <f t="shared" si="27"/>
        <v>-448833.61999999988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2024-03-01T03:16:25Z</cp:lastPrinted>
  <dcterms:created xsi:type="dcterms:W3CDTF">2011-06-06T03:25:48Z</dcterms:created>
  <dcterms:modified xsi:type="dcterms:W3CDTF">2024-03-01T03:23:21Z</dcterms:modified>
</cp:coreProperties>
</file>