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68" windowWidth="17496" windowHeight="10920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N21" i="1" l="1"/>
  <c r="N12" i="1"/>
  <c r="M39" i="1" l="1"/>
  <c r="N23" i="1"/>
  <c r="N24" i="1"/>
  <c r="L39" i="1" l="1"/>
  <c r="H39" i="1" l="1"/>
  <c r="K39" i="1" l="1"/>
  <c r="M29" i="1" l="1"/>
  <c r="M17" i="1"/>
  <c r="M28" i="1"/>
  <c r="M8" i="1"/>
  <c r="L29" i="1" l="1"/>
  <c r="L17" i="1"/>
  <c r="L28" i="1"/>
  <c r="L8" i="1"/>
  <c r="K29" i="1" l="1"/>
  <c r="K22" i="1"/>
  <c r="K17" i="1"/>
  <c r="K28" i="1"/>
  <c r="K8" i="1"/>
  <c r="K35" i="1" l="1"/>
  <c r="L35" i="1"/>
  <c r="M35" i="1"/>
  <c r="K30" i="1"/>
  <c r="L30" i="1"/>
  <c r="M30" i="1"/>
  <c r="K27" i="1"/>
  <c r="L27" i="1"/>
  <c r="M27" i="1"/>
  <c r="K26" i="1"/>
  <c r="L26" i="1"/>
  <c r="M26" i="1"/>
  <c r="J39" i="1" l="1"/>
  <c r="I39" i="1" l="1"/>
  <c r="H35" i="1" l="1"/>
  <c r="I35" i="1"/>
  <c r="J35" i="1"/>
  <c r="J29" i="1" l="1"/>
  <c r="J22" i="1"/>
  <c r="J17" i="1"/>
  <c r="J28" i="1"/>
  <c r="J8" i="1"/>
  <c r="I29" i="1" l="1"/>
  <c r="I17" i="1"/>
  <c r="I28" i="1"/>
  <c r="I8" i="1"/>
  <c r="H29" i="1" l="1"/>
  <c r="H17" i="1"/>
  <c r="H28" i="1"/>
  <c r="H8" i="1"/>
  <c r="H30" i="1" l="1"/>
  <c r="I30" i="1"/>
  <c r="J30" i="1"/>
  <c r="H27" i="1"/>
  <c r="I27" i="1"/>
  <c r="J27" i="1"/>
  <c r="H26" i="1"/>
  <c r="I26" i="1"/>
  <c r="J26" i="1"/>
  <c r="G39" i="1" l="1"/>
  <c r="F39" i="1" l="1"/>
  <c r="G31" i="1" l="1"/>
  <c r="G29" i="1" l="1"/>
  <c r="G17" i="1"/>
  <c r="G28" i="1"/>
  <c r="G8" i="1"/>
  <c r="F29" i="1" l="1"/>
  <c r="F17" i="1"/>
  <c r="F28" i="1"/>
  <c r="F8" i="1"/>
  <c r="E29" i="1" l="1"/>
  <c r="E22" i="1"/>
  <c r="E17" i="1"/>
  <c r="E28" i="1"/>
  <c r="E8" i="1"/>
  <c r="E39" i="1" l="1"/>
  <c r="E35" i="1" l="1"/>
  <c r="F35" i="1"/>
  <c r="G35" i="1"/>
  <c r="E30" i="1"/>
  <c r="F30" i="1"/>
  <c r="G30" i="1"/>
  <c r="E27" i="1"/>
  <c r="F27" i="1"/>
  <c r="G27" i="1"/>
  <c r="E26" i="1"/>
  <c r="F26" i="1"/>
  <c r="G26" i="1"/>
  <c r="D39" i="1" l="1"/>
  <c r="D29" i="1" l="1"/>
  <c r="D17" i="1"/>
  <c r="D28" i="1"/>
  <c r="D8" i="1"/>
  <c r="C29" i="1" l="1"/>
  <c r="C17" i="1"/>
  <c r="C28" i="1"/>
  <c r="C8" i="1"/>
  <c r="B39" i="1" l="1"/>
  <c r="B29" i="1" l="1"/>
  <c r="B22" i="1"/>
  <c r="B17" i="1"/>
  <c r="B28" i="1"/>
  <c r="B8" i="1"/>
  <c r="C35" i="1" l="1"/>
  <c r="D35" i="1"/>
  <c r="C30" i="1"/>
  <c r="D30" i="1"/>
  <c r="C27" i="1"/>
  <c r="D27" i="1"/>
  <c r="C26" i="1"/>
  <c r="D26" i="1"/>
  <c r="B35" i="1"/>
  <c r="B30" i="1"/>
  <c r="B27" i="1"/>
  <c r="B26" i="1"/>
  <c r="N22" i="1" l="1"/>
  <c r="N20" i="1"/>
  <c r="N19" i="1"/>
  <c r="N27" i="1"/>
  <c r="N28" i="1"/>
  <c r="N29" i="1"/>
  <c r="N30" i="1"/>
  <c r="N31" i="1"/>
  <c r="N32" i="1"/>
  <c r="N33" i="1"/>
  <c r="N34" i="1"/>
  <c r="N35" i="1"/>
  <c r="N36" i="1"/>
  <c r="N37" i="1"/>
  <c r="N38" i="1"/>
  <c r="N26" i="1"/>
  <c r="G16" i="1" l="1"/>
  <c r="G40" i="1" s="1"/>
  <c r="N15" i="1" l="1"/>
  <c r="G7" i="1" l="1"/>
  <c r="F16" i="1"/>
  <c r="F40" i="1" s="1"/>
  <c r="F41" i="1" s="1"/>
  <c r="F7" i="1"/>
  <c r="E16" i="1"/>
  <c r="E7" i="1"/>
  <c r="N18" i="1"/>
  <c r="E40" i="1" l="1"/>
  <c r="E41" i="1" s="1"/>
  <c r="D16" i="1"/>
  <c r="D7" i="1"/>
  <c r="C16" i="1"/>
  <c r="C7" i="1"/>
  <c r="C40" i="1" l="1"/>
  <c r="C41" i="1" s="1"/>
  <c r="D40" i="1"/>
  <c r="D41" i="1" s="1"/>
  <c r="B16" i="1"/>
  <c r="N17" i="1"/>
  <c r="N6" i="1"/>
  <c r="N5" i="1"/>
  <c r="N13" i="1"/>
  <c r="B40" i="1" l="1"/>
  <c r="B41" i="1" s="1"/>
  <c r="B42" i="1" s="1"/>
  <c r="N14" i="1"/>
  <c r="K16" i="1"/>
  <c r="L16" i="1"/>
  <c r="M16" i="1"/>
  <c r="N9" i="1"/>
  <c r="N10" i="1"/>
  <c r="N11" i="1"/>
  <c r="K7" i="1"/>
  <c r="L7" i="1"/>
  <c r="M7" i="1"/>
  <c r="M40" i="1" l="1"/>
  <c r="M41" i="1" s="1"/>
  <c r="L40" i="1"/>
  <c r="L41" i="1" s="1"/>
  <c r="K40" i="1" l="1"/>
  <c r="J7" i="1"/>
  <c r="I16" i="1"/>
  <c r="J16" i="1"/>
  <c r="H7" i="1"/>
  <c r="I7" i="1"/>
  <c r="K41" i="1" l="1"/>
  <c r="I40" i="1"/>
  <c r="H16" i="1"/>
  <c r="N16" i="1" l="1"/>
  <c r="I41" i="1"/>
  <c r="J40" i="1"/>
  <c r="J41" i="1" s="1"/>
  <c r="H40" i="1" l="1"/>
  <c r="H41" i="1" l="1"/>
  <c r="N8" i="1"/>
  <c r="B7" i="1"/>
  <c r="B43" i="1" l="1"/>
  <c r="C6" i="1" s="1"/>
  <c r="C43" i="1" s="1"/>
  <c r="D6" i="1" s="1"/>
  <c r="N7" i="1"/>
  <c r="N43" i="1" s="1"/>
  <c r="G41" i="1" l="1"/>
  <c r="N39" i="1"/>
  <c r="C5" i="1"/>
  <c r="C42" i="1" s="1"/>
  <c r="D5" i="1" s="1"/>
  <c r="D43" i="1" l="1"/>
  <c r="D42" i="1"/>
  <c r="E5" i="1" s="1"/>
  <c r="N40" i="1"/>
  <c r="E6" i="1" l="1"/>
  <c r="E43" i="1" s="1"/>
  <c r="F6" i="1" s="1"/>
  <c r="N41" i="1"/>
  <c r="N42" i="1" s="1"/>
  <c r="E42" i="1"/>
  <c r="F43" i="1" l="1"/>
  <c r="G6" i="1" s="1"/>
  <c r="F5" i="1"/>
  <c r="F42" i="1" s="1"/>
  <c r="G5" i="1" s="1"/>
  <c r="G43" i="1" l="1"/>
  <c r="H6" i="1" s="1"/>
  <c r="G42" i="1"/>
  <c r="H5" i="1" s="1"/>
  <c r="H42" i="1" s="1"/>
  <c r="H43" i="1" l="1"/>
  <c r="I6" i="1" s="1"/>
  <c r="I43" i="1" s="1"/>
  <c r="J6" i="1" s="1"/>
  <c r="J43" i="1" s="1"/>
  <c r="K6" i="1" s="1"/>
  <c r="K43" i="1" s="1"/>
  <c r="I5" i="1"/>
  <c r="I42" i="1" s="1"/>
  <c r="L6" i="1" l="1"/>
  <c r="L43" i="1" s="1"/>
  <c r="J5" i="1"/>
  <c r="J42" i="1" s="1"/>
  <c r="M6" i="1" l="1"/>
  <c r="M43" i="1" s="1"/>
  <c r="K5" i="1"/>
  <c r="K42" i="1" s="1"/>
  <c r="L5" i="1" l="1"/>
  <c r="L42" i="1" s="1"/>
  <c r="M5" i="1" l="1"/>
  <c r="M42" i="1" s="1"/>
</calcChain>
</file>

<file path=xl/sharedStrings.xml><?xml version="1.0" encoding="utf-8"?>
<sst xmlns="http://schemas.openxmlformats.org/spreadsheetml/2006/main" count="54" uniqueCount="45">
  <si>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</si>
  <si>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</si>
  <si>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</si>
  <si>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</si>
  <si>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</si>
  <si>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</si>
  <si>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</si>
  <si>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</si>
  <si>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</si>
  <si>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</si>
  <si>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</si>
  <si>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</si>
  <si>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</si>
  <si>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</si>
  <si>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</si>
  <si>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</si>
  <si>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</si>
  <si>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</si>
  <si>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</si>
  <si>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</si>
  <si>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</si>
  <si>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</si>
  <si>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</si>
  <si>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</si>
  <si>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</si>
  <si>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 xml:space="preserve">Тех.обслуживание ОПУ </t>
  </si>
  <si>
    <t>Отведение сточных вод на ОИ</t>
  </si>
  <si>
    <t>Установка пластиковых окон</t>
  </si>
  <si>
    <t>Содержание жилья и текущий ремонт,  ОПУ</t>
  </si>
  <si>
    <t xml:space="preserve">Содержание жилья и текущий ремонт,  ОПУ </t>
  </si>
  <si>
    <t>Январь 2023г.</t>
  </si>
  <si>
    <t>Февраль 2023г.</t>
  </si>
  <si>
    <t>Март 2023г.</t>
  </si>
  <si>
    <t>Апрель 2023г.</t>
  </si>
  <si>
    <t>Май 2023г.</t>
  </si>
  <si>
    <t>Июнь 2023г.</t>
  </si>
  <si>
    <t>Июль 2023г.</t>
  </si>
  <si>
    <t>Август 2023г.</t>
  </si>
  <si>
    <t>Сентябрь 2023г.</t>
  </si>
  <si>
    <t>Октябрь 2023г</t>
  </si>
  <si>
    <t>Ноябрь 2023г</t>
  </si>
  <si>
    <t>Декабрь 2023г</t>
  </si>
  <si>
    <t>Всего:                       за  2023г</t>
  </si>
  <si>
    <t>Возмещение расходов совета МКД</t>
  </si>
  <si>
    <t xml:space="preserve">    ОТЧЕТ по дому Васильева, 53 за период 01.01.2023г. по 31.12.2023г.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</si>
</sst>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5" fillId="0" borderId="0" xfId="0" applyFont="1"/>
    <xf numFmtId="0" fontId="0" fillId="0" borderId="0" xfId="0" applyBorder="1"/>
    <xf numFmtId="0" fontId="6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6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6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6" fillId="5" borderId="4" xfId="0" applyNumberFormat="1" applyFont="1" applyFill="1" applyBorder="1" applyAlignment="1">
      <alignment horizontal="left" vertical="top" wrapText="1"/>
    </xf>
    <xf numFmtId="164" fontId="0" fillId="0" borderId="0" xfId="0" applyNumberFormat="1"/>
    <xf numFmtId="0" fontId="3" fillId="0" borderId="0" xfId="0" applyFont="1" applyAlignment="1">
      <alignment horizontal="center"/>
    </xf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topLeftCell="B31" zoomScale="75" workbookViewId="0">
      <selection activeCell="A23" sqref="A23:XFD23"/>
    </sheetView>
  </sheetViews>
  <sheetFormatPr defaultRowHeight="13.2" x14ac:dyDescent="0.25"/>
  <cols>
    <col min="1" max="1" width="58.6640625" customWidth="1"/>
    <col min="2" max="2" width="14" customWidth="1"/>
    <col min="3" max="3" width="14.109375" customWidth="1"/>
    <col min="4" max="14" width="14.33203125" customWidth="1"/>
    <col min="16" max="16" width="13.6640625" bestFit="1" customWidth="1"/>
  </cols>
  <sheetData>
    <row r="1" spans="1:18" ht="20.25" customHeight="1" x14ac:dyDescent="0.4">
      <c r="A1" s="22" t="s">
        <v>44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30</v>
      </c>
      <c r="C4" s="6" t="s">
        <v>31</v>
      </c>
      <c r="D4" s="6" t="s">
        <v>32</v>
      </c>
      <c r="E4" s="6" t="s">
        <v>33</v>
      </c>
      <c r="F4" s="6" t="s">
        <v>34</v>
      </c>
      <c r="G4" s="6" t="s">
        <v>35</v>
      </c>
      <c r="H4" s="6" t="s">
        <v>36</v>
      </c>
      <c r="I4" s="6" t="s">
        <v>37</v>
      </c>
      <c r="J4" s="6" t="s">
        <v>38</v>
      </c>
      <c r="K4" s="6" t="s">
        <v>39</v>
      </c>
      <c r="L4" s="6" t="s">
        <v>40</v>
      </c>
      <c r="M4" s="6" t="s">
        <v>41</v>
      </c>
      <c r="N4" s="6" t="s">
        <v>42</v>
      </c>
    </row>
    <row r="5" spans="1:18" ht="23.25" customHeight="1" thickBot="1" x14ac:dyDescent="0.3">
      <c r="A5" s="7" t="s">
        <v>16</v>
      </c>
      <c r="B5" s="8">
        <v>-476949.61</v>
      </c>
      <c r="C5" s="8">
        <f t="shared" ref="C5:C6" si="0">B42</f>
        <v>-429376.10524999996</v>
      </c>
      <c r="D5" s="8">
        <f t="shared" ref="D5:D6" si="1">C42</f>
        <v>-392975.45081999997</v>
      </c>
      <c r="E5" s="8">
        <f t="shared" ref="E5:E6" si="2">D42</f>
        <v>-567621.39770999993</v>
      </c>
      <c r="F5" s="8">
        <f t="shared" ref="F5:F6" si="3">E42</f>
        <v>-526965.04846999992</v>
      </c>
      <c r="G5" s="8">
        <f t="shared" ref="G5:G6" si="4">F42</f>
        <v>-512911.70033999992</v>
      </c>
      <c r="H5" s="8">
        <f t="shared" ref="H5:H6" si="5">G42</f>
        <v>-528751.46540999995</v>
      </c>
      <c r="I5" s="8">
        <f t="shared" ref="I5:I6" si="6">H42</f>
        <v>-528255.60861</v>
      </c>
      <c r="J5" s="8">
        <f t="shared" ref="J5:J6" si="7">I42</f>
        <v>-526388.41700000002</v>
      </c>
      <c r="K5" s="8">
        <f t="shared" ref="K5:K6" si="8">J42</f>
        <v>-486105.25086999999</v>
      </c>
      <c r="L5" s="8">
        <f t="shared" ref="L5:L6" si="9">K42</f>
        <v>-567868.29903999995</v>
      </c>
      <c r="M5" s="8">
        <f t="shared" ref="M5:M6" si="10">L42</f>
        <v>-596646.42078999989</v>
      </c>
      <c r="N5" s="8">
        <f>B5</f>
        <v>-476949.61</v>
      </c>
    </row>
    <row r="6" spans="1:18" ht="21" customHeight="1" thickBot="1" x14ac:dyDescent="0.3">
      <c r="A6" s="7" t="s">
        <v>13</v>
      </c>
      <c r="B6" s="8">
        <v>-299644.96000000002</v>
      </c>
      <c r="C6" s="8">
        <f t="shared" si="0"/>
        <v>-296633.01</v>
      </c>
      <c r="D6" s="8">
        <f t="shared" si="1"/>
        <v>-297848.86</v>
      </c>
      <c r="E6" s="8">
        <f t="shared" si="2"/>
        <v>-288002.74</v>
      </c>
      <c r="F6" s="8">
        <f t="shared" si="3"/>
        <v>-270595.84999999998</v>
      </c>
      <c r="G6" s="8">
        <f t="shared" si="4"/>
        <v>-278618.14999999997</v>
      </c>
      <c r="H6" s="8">
        <f t="shared" si="5"/>
        <v>-287175.00999999995</v>
      </c>
      <c r="I6" s="8">
        <f t="shared" si="6"/>
        <v>-298023.89999999997</v>
      </c>
      <c r="J6" s="8">
        <f t="shared" si="7"/>
        <v>-316181.37999999995</v>
      </c>
      <c r="K6" s="8">
        <f t="shared" si="8"/>
        <v>-298154.27999999991</v>
      </c>
      <c r="L6" s="8">
        <f t="shared" si="9"/>
        <v>-298296.36999999988</v>
      </c>
      <c r="M6" s="8">
        <f t="shared" si="10"/>
        <v>-315174.30999999988</v>
      </c>
      <c r="N6" s="8">
        <f>B6</f>
        <v>-299644.96000000002</v>
      </c>
    </row>
    <row r="7" spans="1:18" ht="20.25" customHeight="1" thickBot="1" x14ac:dyDescent="0.3">
      <c r="A7" s="9" t="s">
        <v>12</v>
      </c>
      <c r="B7" s="10">
        <f>SUM(B8:B15)</f>
        <v>122321.74999999999</v>
      </c>
      <c r="C7" s="10">
        <f>SUM(C8:C15)</f>
        <v>99239.189999999988</v>
      </c>
      <c r="D7" s="10">
        <f>SUM(D8:D15)</f>
        <v>85300.93</v>
      </c>
      <c r="E7" s="10">
        <f>SUM(E8:E15)</f>
        <v>86173.01999999999</v>
      </c>
      <c r="F7" s="10">
        <f>SUM(F8:F15)</f>
        <v>82745.789999999994</v>
      </c>
      <c r="G7" s="10">
        <f>SUM(G8:G15)</f>
        <v>82745.789999999994</v>
      </c>
      <c r="H7" s="10">
        <f>SUM(H8:H15)</f>
        <v>89240.3</v>
      </c>
      <c r="I7" s="10">
        <f>SUM(I8:I15)</f>
        <v>94042.43</v>
      </c>
      <c r="J7" s="10">
        <f>SUM(J8:J15)</f>
        <v>82745.789999999994</v>
      </c>
      <c r="K7" s="10">
        <f>SUM(K8:K15)</f>
        <v>82745.789999999994</v>
      </c>
      <c r="L7" s="10">
        <f>SUM(L8:L15)</f>
        <v>84296.15</v>
      </c>
      <c r="M7" s="10">
        <f>SUM(M8:M15)</f>
        <v>84846.9</v>
      </c>
      <c r="N7" s="10">
        <f>SUM(B7:M7)</f>
        <v>1076443.83</v>
      </c>
    </row>
    <row r="8" spans="1:18" ht="24.75" customHeight="1" thickBot="1" x14ac:dyDescent="0.3">
      <c r="A8" s="4" t="s">
        <v>28</v>
      </c>
      <c r="B8" s="11">
        <f t="shared" ref="B8:G8" si="11">74275.42+1482.68</f>
        <v>75758.099999999991</v>
      </c>
      <c r="C8" s="11">
        <f t="shared" si="11"/>
        <v>75758.099999999991</v>
      </c>
      <c r="D8" s="11">
        <f t="shared" si="11"/>
        <v>75758.099999999991</v>
      </c>
      <c r="E8" s="11">
        <f t="shared" si="11"/>
        <v>75758.099999999991</v>
      </c>
      <c r="F8" s="11">
        <f t="shared" si="11"/>
        <v>75758.099999999991</v>
      </c>
      <c r="G8" s="11">
        <f t="shared" si="11"/>
        <v>75758.099999999991</v>
      </c>
      <c r="H8" s="11">
        <f t="shared" ref="H8:M8" si="12">74275.42+1482.68</f>
        <v>75758.099999999991</v>
      </c>
      <c r="I8" s="11">
        <f t="shared" si="12"/>
        <v>75758.099999999991</v>
      </c>
      <c r="J8" s="11">
        <f t="shared" si="12"/>
        <v>75758.099999999991</v>
      </c>
      <c r="K8" s="11">
        <f t="shared" si="12"/>
        <v>75758.099999999991</v>
      </c>
      <c r="L8" s="11">
        <f t="shared" si="12"/>
        <v>75758.099999999991</v>
      </c>
      <c r="M8" s="11">
        <f t="shared" si="12"/>
        <v>75758.099999999991</v>
      </c>
      <c r="N8" s="11">
        <f>SUM(B8:M8)</f>
        <v>909097.19999999984</v>
      </c>
    </row>
    <row r="9" spans="1:18" ht="24.75" customHeight="1" thickBot="1" x14ac:dyDescent="0.3">
      <c r="A9" s="4" t="s">
        <v>17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3664.05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f t="shared" ref="N9:N15" si="13">SUM(B9:M9)</f>
        <v>3664.05</v>
      </c>
    </row>
    <row r="10" spans="1:18" ht="24.75" customHeight="1" thickBot="1" x14ac:dyDescent="0.3">
      <c r="A10" s="4" t="s">
        <v>18</v>
      </c>
      <c r="B10" s="11">
        <v>234.77</v>
      </c>
      <c r="C10" s="11">
        <v>234.77</v>
      </c>
      <c r="D10" s="11">
        <v>234.77</v>
      </c>
      <c r="E10" s="11">
        <v>234.77</v>
      </c>
      <c r="F10" s="11">
        <v>234.77</v>
      </c>
      <c r="G10" s="11">
        <v>234.77</v>
      </c>
      <c r="H10" s="11">
        <v>234.77</v>
      </c>
      <c r="I10" s="11">
        <v>234.77</v>
      </c>
      <c r="J10" s="11">
        <v>234.77</v>
      </c>
      <c r="K10" s="11">
        <v>234.77</v>
      </c>
      <c r="L10" s="11">
        <v>234.77</v>
      </c>
      <c r="M10" s="11">
        <v>234.77</v>
      </c>
      <c r="N10" s="11">
        <f t="shared" si="13"/>
        <v>2817.2400000000002</v>
      </c>
    </row>
    <row r="11" spans="1:18" ht="24.75" customHeight="1" thickBot="1" x14ac:dyDescent="0.3">
      <c r="A11" s="4" t="s">
        <v>19</v>
      </c>
      <c r="B11" s="11">
        <v>39575.96</v>
      </c>
      <c r="C11" s="11">
        <v>16493.400000000001</v>
      </c>
      <c r="D11" s="11">
        <v>2555.14</v>
      </c>
      <c r="E11" s="11">
        <v>3427.23</v>
      </c>
      <c r="F11" s="11">
        <v>0</v>
      </c>
      <c r="G11" s="11">
        <v>0</v>
      </c>
      <c r="H11" s="11">
        <v>2830.46</v>
      </c>
      <c r="I11" s="11">
        <v>11296.64</v>
      </c>
      <c r="J11" s="11">
        <v>0</v>
      </c>
      <c r="K11" s="11">
        <v>0</v>
      </c>
      <c r="L11" s="11">
        <v>1550.36</v>
      </c>
      <c r="M11" s="11">
        <v>2101.11</v>
      </c>
      <c r="N11" s="11">
        <f t="shared" si="13"/>
        <v>79830.3</v>
      </c>
    </row>
    <row r="12" spans="1:18" ht="24.75" customHeight="1" thickBot="1" x14ac:dyDescent="0.3">
      <c r="A12" s="4" t="s">
        <v>26</v>
      </c>
      <c r="B12" s="11">
        <v>452.92</v>
      </c>
      <c r="C12" s="11">
        <v>452.92</v>
      </c>
      <c r="D12" s="11">
        <v>452.92</v>
      </c>
      <c r="E12" s="11">
        <v>452.92</v>
      </c>
      <c r="F12" s="11">
        <v>452.92</v>
      </c>
      <c r="G12" s="11">
        <v>452.92</v>
      </c>
      <c r="H12" s="11">
        <v>452.92</v>
      </c>
      <c r="I12" s="11">
        <v>452.92</v>
      </c>
      <c r="J12" s="11">
        <v>452.92</v>
      </c>
      <c r="K12" s="11">
        <v>452.92</v>
      </c>
      <c r="L12" s="11">
        <v>452.92</v>
      </c>
      <c r="M12" s="11">
        <v>452.92</v>
      </c>
      <c r="N12" s="11">
        <f t="shared" ref="N12" si="14">SUM(B12:M12)</f>
        <v>5435.04</v>
      </c>
    </row>
    <row r="13" spans="1:18" ht="24.75" customHeight="1" thickBot="1" x14ac:dyDescent="0.3">
      <c r="A13" s="4" t="s">
        <v>43</v>
      </c>
      <c r="B13" s="11">
        <v>5600</v>
      </c>
      <c r="C13" s="11">
        <v>5600</v>
      </c>
      <c r="D13" s="11">
        <v>5600</v>
      </c>
      <c r="E13" s="11">
        <v>5600</v>
      </c>
      <c r="F13" s="11">
        <v>5600</v>
      </c>
      <c r="G13" s="11">
        <v>5600</v>
      </c>
      <c r="H13" s="11">
        <v>5600</v>
      </c>
      <c r="I13" s="11">
        <v>5600</v>
      </c>
      <c r="J13" s="11">
        <v>5600</v>
      </c>
      <c r="K13" s="11">
        <v>5600</v>
      </c>
      <c r="L13" s="11">
        <v>5600</v>
      </c>
      <c r="M13" s="11">
        <v>5600</v>
      </c>
      <c r="N13" s="11">
        <f>SUM(B13:M13)</f>
        <v>67200</v>
      </c>
    </row>
    <row r="14" spans="1:18" ht="24.75" hidden="1" customHeight="1" thickBot="1" x14ac:dyDescent="0.3">
      <c r="A14" s="4" t="s">
        <v>27</v>
      </c>
      <c r="B14" s="11"/>
      <c r="C14" s="11"/>
      <c r="D14" s="11"/>
      <c r="E14" s="11"/>
      <c r="F14" s="11"/>
      <c r="G14" s="11"/>
      <c r="H14" s="11"/>
      <c r="I14" s="11"/>
      <c r="J14" s="11"/>
      <c r="K14" s="20"/>
      <c r="L14" s="11"/>
      <c r="M14" s="11"/>
      <c r="N14" s="11">
        <f t="shared" si="13"/>
        <v>0</v>
      </c>
    </row>
    <row r="15" spans="1:18" ht="24.75" customHeight="1" thickBot="1" x14ac:dyDescent="0.3">
      <c r="A15" s="4" t="s">
        <v>15</v>
      </c>
      <c r="B15" s="11">
        <v>700</v>
      </c>
      <c r="C15" s="11">
        <v>700</v>
      </c>
      <c r="D15" s="11">
        <v>700</v>
      </c>
      <c r="E15" s="11">
        <v>700</v>
      </c>
      <c r="F15" s="11">
        <v>700</v>
      </c>
      <c r="G15" s="11">
        <v>700</v>
      </c>
      <c r="H15" s="11">
        <v>700</v>
      </c>
      <c r="I15" s="11">
        <v>700</v>
      </c>
      <c r="J15" s="11">
        <v>700</v>
      </c>
      <c r="K15" s="11">
        <v>700</v>
      </c>
      <c r="L15" s="11">
        <v>700</v>
      </c>
      <c r="M15" s="11">
        <v>700</v>
      </c>
      <c r="N15" s="11">
        <f t="shared" si="13"/>
        <v>8400</v>
      </c>
    </row>
    <row r="16" spans="1:18" ht="20.25" customHeight="1" thickBot="1" x14ac:dyDescent="0.3">
      <c r="A16" s="12" t="s">
        <v>8</v>
      </c>
      <c r="B16" s="13">
        <f>SUM(B17:B24)</f>
        <v>125333.70000000001</v>
      </c>
      <c r="C16" s="13">
        <f>SUM(C17:C24)</f>
        <v>98023.34</v>
      </c>
      <c r="D16" s="13">
        <f>SUM(D17:D24)</f>
        <v>95147.05</v>
      </c>
      <c r="E16" s="13">
        <f>SUM(E17:E24)</f>
        <v>103579.91</v>
      </c>
      <c r="F16" s="13">
        <f>SUM(F17:F24)</f>
        <v>74723.490000000005</v>
      </c>
      <c r="G16" s="13">
        <f>SUM(G17:G24)</f>
        <v>74188.929999999993</v>
      </c>
      <c r="H16" s="13">
        <f>SUM(H17:H24)</f>
        <v>78391.41</v>
      </c>
      <c r="I16" s="13">
        <f>SUM(I17:I24)</f>
        <v>75884.950000000012</v>
      </c>
      <c r="J16" s="13">
        <f>SUM(J17:J24)</f>
        <v>100772.89</v>
      </c>
      <c r="K16" s="13">
        <f>SUM(K17:K24)</f>
        <v>82603.700000000026</v>
      </c>
      <c r="L16" s="13">
        <f>SUM(L17:L24)</f>
        <v>67418.209999999992</v>
      </c>
      <c r="M16" s="13">
        <f>SUM(M17:M24)</f>
        <v>78552.669999999984</v>
      </c>
      <c r="N16" s="13">
        <f t="shared" ref="N16:N24" si="15">SUM(B16:M16)</f>
        <v>1054620.25</v>
      </c>
      <c r="P16" s="21"/>
    </row>
    <row r="17" spans="1:16" ht="24" customHeight="1" thickBot="1" x14ac:dyDescent="0.3">
      <c r="A17" s="4" t="s">
        <v>29</v>
      </c>
      <c r="B17" s="11">
        <f>104926.61+288.44+470.02+3160.53+2794.57+564.6</f>
        <v>112204.77000000002</v>
      </c>
      <c r="C17" s="11">
        <f>61697.46+1208.36</f>
        <v>62905.82</v>
      </c>
      <c r="D17" s="11">
        <f>69483.97+1483.24</f>
        <v>70967.210000000006</v>
      </c>
      <c r="E17" s="11">
        <f>72786.23+481.82+1047.85+4073.83+4668.5+943.17</f>
        <v>84001.400000000009</v>
      </c>
      <c r="F17" s="11">
        <f>63770.44+1769.36</f>
        <v>65539.8</v>
      </c>
      <c r="G17" s="11">
        <f>65963.42+1242.81</f>
        <v>67206.23</v>
      </c>
      <c r="H17" s="11">
        <f>70088.41+1411.89</f>
        <v>71500.3</v>
      </c>
      <c r="I17" s="11">
        <f>63634.61+1288.37</f>
        <v>64922.98</v>
      </c>
      <c r="J17" s="11">
        <f>80965.3+1749.18</f>
        <v>82714.48</v>
      </c>
      <c r="K17" s="11">
        <f>72618.05+1393.48+538.21</f>
        <v>74549.740000000005</v>
      </c>
      <c r="L17" s="11">
        <f>57950.86+100.86+123.71+1955.05+977.24+197.43</f>
        <v>61305.15</v>
      </c>
      <c r="M17" s="11">
        <f>69864.43+1322.79</f>
        <v>71187.219999999987</v>
      </c>
      <c r="N17" s="11">
        <f t="shared" si="15"/>
        <v>889005.1</v>
      </c>
    </row>
    <row r="18" spans="1:16" ht="26.25" customHeight="1" thickBot="1" x14ac:dyDescent="0.3">
      <c r="A18" s="4" t="s">
        <v>17</v>
      </c>
      <c r="B18" s="11">
        <v>965.19</v>
      </c>
      <c r="C18" s="11">
        <v>0.1</v>
      </c>
      <c r="D18" s="11">
        <v>70.2</v>
      </c>
      <c r="E18" s="11">
        <v>1.31</v>
      </c>
      <c r="F18" s="11">
        <v>11.34</v>
      </c>
      <c r="G18" s="11">
        <v>17.04</v>
      </c>
      <c r="H18" s="11">
        <v>629.92999999999995</v>
      </c>
      <c r="I18" s="11">
        <v>2860.53</v>
      </c>
      <c r="J18" s="11">
        <v>290</v>
      </c>
      <c r="K18" s="11">
        <v>133.11000000000001</v>
      </c>
      <c r="L18" s="11">
        <v>1.59</v>
      </c>
      <c r="M18" s="11">
        <v>31.16</v>
      </c>
      <c r="N18" s="11">
        <f t="shared" si="15"/>
        <v>5011.4999999999991</v>
      </c>
    </row>
    <row r="19" spans="1:16" ht="26.25" customHeight="1" thickBot="1" x14ac:dyDescent="0.3">
      <c r="A19" s="4" t="s">
        <v>18</v>
      </c>
      <c r="B19" s="11">
        <v>665.92</v>
      </c>
      <c r="C19" s="11">
        <v>190.19</v>
      </c>
      <c r="D19" s="11">
        <v>217.65</v>
      </c>
      <c r="E19" s="11">
        <v>274.61</v>
      </c>
      <c r="F19" s="11">
        <v>201.06</v>
      </c>
      <c r="G19" s="11">
        <v>208.09</v>
      </c>
      <c r="H19" s="11">
        <v>192.01</v>
      </c>
      <c r="I19" s="11">
        <v>201.37</v>
      </c>
      <c r="J19" s="11">
        <v>295.37</v>
      </c>
      <c r="K19" s="11">
        <v>255.82</v>
      </c>
      <c r="L19" s="11">
        <v>183.17</v>
      </c>
      <c r="M19" s="11">
        <v>211.44</v>
      </c>
      <c r="N19" s="11">
        <f t="shared" si="15"/>
        <v>3096.7</v>
      </c>
    </row>
    <row r="20" spans="1:16" ht="26.25" customHeight="1" thickBot="1" x14ac:dyDescent="0.3">
      <c r="A20" s="4" t="s">
        <v>19</v>
      </c>
      <c r="B20" s="11">
        <v>2904.65</v>
      </c>
      <c r="C20" s="11">
        <v>26303.279999999999</v>
      </c>
      <c r="D20" s="11">
        <v>14731.63</v>
      </c>
      <c r="E20" s="11">
        <v>5634.62</v>
      </c>
      <c r="F20" s="11">
        <v>3282.97</v>
      </c>
      <c r="G20" s="11">
        <v>365.52</v>
      </c>
      <c r="H20" s="11">
        <v>9.9700000000000006</v>
      </c>
      <c r="I20" s="11">
        <v>2602.08</v>
      </c>
      <c r="J20" s="11">
        <v>10521.83</v>
      </c>
      <c r="K20" s="11">
        <v>968.11</v>
      </c>
      <c r="L20" s="11">
        <v>14.25</v>
      </c>
      <c r="M20" s="11">
        <v>1443.18</v>
      </c>
      <c r="N20" s="11">
        <f t="shared" si="15"/>
        <v>68782.09</v>
      </c>
    </row>
    <row r="21" spans="1:16" ht="26.25" customHeight="1" thickBot="1" x14ac:dyDescent="0.3">
      <c r="A21" s="4" t="s">
        <v>26</v>
      </c>
      <c r="B21" s="11">
        <v>635.03</v>
      </c>
      <c r="C21" s="11">
        <v>373.95</v>
      </c>
      <c r="D21" s="11">
        <v>420.05</v>
      </c>
      <c r="E21" s="11">
        <v>521.92999999999995</v>
      </c>
      <c r="F21" s="11">
        <v>388.32</v>
      </c>
      <c r="G21" s="11">
        <v>401.42</v>
      </c>
      <c r="H21" s="11">
        <v>373.82</v>
      </c>
      <c r="I21" s="11">
        <v>387.99</v>
      </c>
      <c r="J21" s="11">
        <v>517.61</v>
      </c>
      <c r="K21" s="11">
        <v>454.46</v>
      </c>
      <c r="L21" s="11">
        <v>353.4</v>
      </c>
      <c r="M21" s="11">
        <v>407.91</v>
      </c>
      <c r="N21" s="11">
        <f t="shared" ref="N21" si="16">SUM(B21:M21)</f>
        <v>5235.8899999999994</v>
      </c>
    </row>
    <row r="22" spans="1:16" ht="26.25" customHeight="1" thickBot="1" x14ac:dyDescent="0.3">
      <c r="A22" s="4" t="s">
        <v>43</v>
      </c>
      <c r="B22" s="11">
        <f>4901.86+2656.28</f>
        <v>7558.1399999999994</v>
      </c>
      <c r="C22" s="11">
        <v>4550</v>
      </c>
      <c r="D22" s="11">
        <v>5040.3100000000004</v>
      </c>
      <c r="E22" s="11">
        <f>6023.18+3122.86</f>
        <v>9146.0400000000009</v>
      </c>
      <c r="F22" s="11">
        <v>4900</v>
      </c>
      <c r="G22" s="11">
        <v>4690.63</v>
      </c>
      <c r="H22" s="11">
        <v>5285.38</v>
      </c>
      <c r="I22" s="11">
        <v>4510</v>
      </c>
      <c r="J22" s="11">
        <f>5077.65+955.95</f>
        <v>6033.5999999999995</v>
      </c>
      <c r="K22" s="11">
        <f>5184.36+658.1</f>
        <v>5842.46</v>
      </c>
      <c r="L22" s="11">
        <v>5160.6499999999996</v>
      </c>
      <c r="M22" s="11">
        <v>4871.76</v>
      </c>
      <c r="N22" s="11">
        <f t="shared" si="15"/>
        <v>67588.97</v>
      </c>
    </row>
    <row r="23" spans="1:16" ht="26.25" hidden="1" customHeight="1" thickBot="1" x14ac:dyDescent="0.3">
      <c r="A23" s="4" t="s">
        <v>27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>
        <f t="shared" si="15"/>
        <v>0</v>
      </c>
    </row>
    <row r="24" spans="1:16" ht="26.25" customHeight="1" thickBot="1" x14ac:dyDescent="0.3">
      <c r="A24" s="4" t="s">
        <v>15</v>
      </c>
      <c r="B24" s="14">
        <v>400</v>
      </c>
      <c r="C24" s="14">
        <v>3700</v>
      </c>
      <c r="D24" s="14">
        <v>3700</v>
      </c>
      <c r="E24" s="14">
        <v>4000</v>
      </c>
      <c r="F24" s="14">
        <v>400</v>
      </c>
      <c r="G24" s="14">
        <v>1300</v>
      </c>
      <c r="H24" s="14">
        <v>400</v>
      </c>
      <c r="I24" s="14">
        <v>400</v>
      </c>
      <c r="J24" s="14">
        <v>400</v>
      </c>
      <c r="K24" s="14">
        <v>400</v>
      </c>
      <c r="L24" s="14">
        <v>400</v>
      </c>
      <c r="M24" s="14">
        <v>400</v>
      </c>
      <c r="N24" s="11">
        <f t="shared" si="15"/>
        <v>15900</v>
      </c>
      <c r="O24" s="3"/>
      <c r="P24" s="21"/>
    </row>
    <row r="25" spans="1:16" ht="21.75" customHeight="1" thickBot="1" x14ac:dyDescent="0.3">
      <c r="A25" s="15" t="s">
        <v>24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</row>
    <row r="26" spans="1:16" ht="19.5" customHeight="1" thickBot="1" x14ac:dyDescent="0.3">
      <c r="A26" s="4" t="s">
        <v>1</v>
      </c>
      <c r="B26" s="11">
        <f>3530.2*0.6</f>
        <v>2118.12</v>
      </c>
      <c r="C26" s="11">
        <f t="shared" ref="C26:M26" si="17">3530.2*0.6</f>
        <v>2118.12</v>
      </c>
      <c r="D26" s="11">
        <f t="shared" si="17"/>
        <v>2118.12</v>
      </c>
      <c r="E26" s="11">
        <f t="shared" si="17"/>
        <v>2118.12</v>
      </c>
      <c r="F26" s="11">
        <f t="shared" si="17"/>
        <v>2118.12</v>
      </c>
      <c r="G26" s="11">
        <f t="shared" si="17"/>
        <v>2118.12</v>
      </c>
      <c r="H26" s="11">
        <f t="shared" si="17"/>
        <v>2118.12</v>
      </c>
      <c r="I26" s="11">
        <f t="shared" si="17"/>
        <v>2118.12</v>
      </c>
      <c r="J26" s="11">
        <f t="shared" si="17"/>
        <v>2118.12</v>
      </c>
      <c r="K26" s="11">
        <f t="shared" si="17"/>
        <v>2118.12</v>
      </c>
      <c r="L26" s="11">
        <f t="shared" si="17"/>
        <v>2118.12</v>
      </c>
      <c r="M26" s="11">
        <f t="shared" si="17"/>
        <v>2118.12</v>
      </c>
      <c r="N26" s="11">
        <f>SUM(B26:M26)</f>
        <v>25417.439999999991</v>
      </c>
    </row>
    <row r="27" spans="1:16" ht="22.5" customHeight="1" thickBot="1" x14ac:dyDescent="0.3">
      <c r="A27" s="4" t="s">
        <v>2</v>
      </c>
      <c r="B27" s="11">
        <f t="shared" ref="B27:M27" si="18">3530.2*0.17</f>
        <v>600.13400000000001</v>
      </c>
      <c r="C27" s="11">
        <f t="shared" si="18"/>
        <v>600.13400000000001</v>
      </c>
      <c r="D27" s="11">
        <f t="shared" si="18"/>
        <v>600.13400000000001</v>
      </c>
      <c r="E27" s="11">
        <f t="shared" si="18"/>
        <v>600.13400000000001</v>
      </c>
      <c r="F27" s="11">
        <f t="shared" si="18"/>
        <v>600.13400000000001</v>
      </c>
      <c r="G27" s="11">
        <f t="shared" si="18"/>
        <v>600.13400000000001</v>
      </c>
      <c r="H27" s="11">
        <f t="shared" si="18"/>
        <v>600.13400000000001</v>
      </c>
      <c r="I27" s="11">
        <f t="shared" si="18"/>
        <v>600.13400000000001</v>
      </c>
      <c r="J27" s="11">
        <f t="shared" si="18"/>
        <v>600.13400000000001</v>
      </c>
      <c r="K27" s="11">
        <f t="shared" si="18"/>
        <v>600.13400000000001</v>
      </c>
      <c r="L27" s="11">
        <f t="shared" si="18"/>
        <v>600.13400000000001</v>
      </c>
      <c r="M27" s="11">
        <f t="shared" si="18"/>
        <v>600.13400000000001</v>
      </c>
      <c r="N27" s="11">
        <f t="shared" ref="N27:N39" si="19">SUM(B27:M27)</f>
        <v>7201.6080000000002</v>
      </c>
    </row>
    <row r="28" spans="1:16" ht="21" customHeight="1" thickBot="1" x14ac:dyDescent="0.3">
      <c r="A28" s="4" t="s">
        <v>3</v>
      </c>
      <c r="B28" s="11">
        <f>121621.75*2.3%</f>
        <v>2797.3002499999998</v>
      </c>
      <c r="C28" s="11">
        <f>98539.19*2.3%</f>
        <v>2266.40137</v>
      </c>
      <c r="D28" s="11">
        <f>84600.93*2.3%</f>
        <v>1945.8213899999998</v>
      </c>
      <c r="E28" s="11">
        <f>85473.02*2.3%</f>
        <v>1965.8794600000001</v>
      </c>
      <c r="F28" s="11">
        <f>82045.79*2.3%</f>
        <v>1887.0531699999999</v>
      </c>
      <c r="G28" s="11">
        <f>82045.79*2.3%</f>
        <v>1887.0531699999999</v>
      </c>
      <c r="H28" s="11">
        <f>88540.3*2.3%</f>
        <v>2036.4268999999999</v>
      </c>
      <c r="I28" s="11">
        <f>93342.43*2.3%</f>
        <v>2146.8758899999998</v>
      </c>
      <c r="J28" s="11">
        <f>82045.79*2.3%</f>
        <v>1887.0531699999999</v>
      </c>
      <c r="K28" s="11">
        <f>82045.79*2.3%</f>
        <v>1887.0531699999999</v>
      </c>
      <c r="L28" s="11">
        <f>83596.15*2.3%</f>
        <v>1922.7114499999998</v>
      </c>
      <c r="M28" s="11">
        <f>84146.9*2.3%</f>
        <v>1935.3786999999998</v>
      </c>
      <c r="N28" s="11">
        <f t="shared" si="19"/>
        <v>24565.008089999999</v>
      </c>
    </row>
    <row r="29" spans="1:16" ht="23.25" customHeight="1" thickBot="1" x14ac:dyDescent="0.3">
      <c r="A29" s="4" t="s">
        <v>4</v>
      </c>
      <c r="B29" s="11">
        <f>124933.7*3%</f>
        <v>3748.011</v>
      </c>
      <c r="C29" s="11">
        <f>94323.34*3%</f>
        <v>2829.7001999999998</v>
      </c>
      <c r="D29" s="11">
        <f>91447.05*3%</f>
        <v>2743.4115000000002</v>
      </c>
      <c r="E29" s="11">
        <f>99579.91*3%</f>
        <v>2987.3973000000001</v>
      </c>
      <c r="F29" s="11">
        <f>74323.49*3%</f>
        <v>2229.7047000000002</v>
      </c>
      <c r="G29" s="11">
        <f>72888.93*3%</f>
        <v>2186.6678999999999</v>
      </c>
      <c r="H29" s="11">
        <f>77991.41*3%</f>
        <v>2339.7422999999999</v>
      </c>
      <c r="I29" s="11">
        <f>75484.95*3%</f>
        <v>2264.5484999999999</v>
      </c>
      <c r="J29" s="11">
        <f>100372.89*3%</f>
        <v>3011.1866999999997</v>
      </c>
      <c r="K29" s="11">
        <f>82203.7*3%</f>
        <v>2466.1109999999999</v>
      </c>
      <c r="L29" s="11">
        <f>67018.21*3%</f>
        <v>2010.5463000000002</v>
      </c>
      <c r="M29" s="11">
        <f>78152.67*3%</f>
        <v>2344.5800999999997</v>
      </c>
      <c r="N29" s="11">
        <f t="shared" si="19"/>
        <v>31161.607499999998</v>
      </c>
    </row>
    <row r="30" spans="1:16" ht="23.25" customHeight="1" thickBot="1" x14ac:dyDescent="0.3">
      <c r="A30" s="4" t="s">
        <v>9</v>
      </c>
      <c r="B30" s="11">
        <f t="shared" ref="B30:M30" si="20">3530.2*9.7</f>
        <v>34242.939999999995</v>
      </c>
      <c r="C30" s="11">
        <f t="shared" si="20"/>
        <v>34242.939999999995</v>
      </c>
      <c r="D30" s="11">
        <f t="shared" si="20"/>
        <v>34242.939999999995</v>
      </c>
      <c r="E30" s="11">
        <f t="shared" si="20"/>
        <v>34242.939999999995</v>
      </c>
      <c r="F30" s="11">
        <f t="shared" si="20"/>
        <v>34242.939999999995</v>
      </c>
      <c r="G30" s="11">
        <f t="shared" si="20"/>
        <v>34242.939999999995</v>
      </c>
      <c r="H30" s="11">
        <f t="shared" si="20"/>
        <v>34242.939999999995</v>
      </c>
      <c r="I30" s="11">
        <f t="shared" si="20"/>
        <v>34242.939999999995</v>
      </c>
      <c r="J30" s="11">
        <f t="shared" si="20"/>
        <v>34242.939999999995</v>
      </c>
      <c r="K30" s="11">
        <f t="shared" si="20"/>
        <v>34242.939999999995</v>
      </c>
      <c r="L30" s="11">
        <f t="shared" si="20"/>
        <v>34242.939999999995</v>
      </c>
      <c r="M30" s="11">
        <f t="shared" si="20"/>
        <v>34242.939999999995</v>
      </c>
      <c r="N30" s="11">
        <f t="shared" si="19"/>
        <v>410915.27999999997</v>
      </c>
    </row>
    <row r="31" spans="1:16" ht="26.25" customHeight="1" thickBot="1" x14ac:dyDescent="0.3">
      <c r="A31" s="4" t="s">
        <v>20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f>3663.97+0</f>
        <v>3663.97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 t="shared" si="19"/>
        <v>3663.97</v>
      </c>
    </row>
    <row r="32" spans="1:16" ht="26.25" customHeight="1" thickBot="1" x14ac:dyDescent="0.3">
      <c r="A32" s="4" t="s">
        <v>21</v>
      </c>
      <c r="B32" s="11">
        <v>352.15</v>
      </c>
      <c r="C32" s="11">
        <v>352.15</v>
      </c>
      <c r="D32" s="11">
        <v>352.15</v>
      </c>
      <c r="E32" s="11">
        <v>352.15</v>
      </c>
      <c r="F32" s="11">
        <v>352.15</v>
      </c>
      <c r="G32" s="11">
        <v>352.15</v>
      </c>
      <c r="H32" s="11">
        <v>352.15</v>
      </c>
      <c r="I32" s="11">
        <v>352.15</v>
      </c>
      <c r="J32" s="11">
        <v>352.15</v>
      </c>
      <c r="K32" s="11">
        <v>352.15</v>
      </c>
      <c r="L32" s="11">
        <v>352.15</v>
      </c>
      <c r="M32" s="11">
        <v>352.15</v>
      </c>
      <c r="N32" s="11">
        <f t="shared" si="19"/>
        <v>4225.8</v>
      </c>
    </row>
    <row r="33" spans="1:14" ht="26.25" customHeight="1" thickBot="1" x14ac:dyDescent="0.3">
      <c r="A33" s="4" t="s">
        <v>22</v>
      </c>
      <c r="B33" s="11">
        <v>16493.400000000001</v>
      </c>
      <c r="C33" s="11">
        <v>2555.1</v>
      </c>
      <c r="D33" s="11">
        <v>3427.2</v>
      </c>
      <c r="E33" s="11">
        <v>0</v>
      </c>
      <c r="F33" s="11">
        <v>0</v>
      </c>
      <c r="G33" s="11">
        <v>2830.5</v>
      </c>
      <c r="H33" s="11">
        <v>11296.5</v>
      </c>
      <c r="I33" s="11">
        <v>0</v>
      </c>
      <c r="J33" s="11">
        <v>0</v>
      </c>
      <c r="K33" s="11">
        <v>1550.4</v>
      </c>
      <c r="L33" s="11">
        <v>2101.1999999999998</v>
      </c>
      <c r="M33" s="11">
        <v>6548.4</v>
      </c>
      <c r="N33" s="11">
        <f t="shared" si="19"/>
        <v>46802.7</v>
      </c>
    </row>
    <row r="34" spans="1:14" ht="26.25" customHeight="1" thickBot="1" x14ac:dyDescent="0.3">
      <c r="A34" s="4" t="s">
        <v>26</v>
      </c>
      <c r="B34" s="11">
        <v>453.01</v>
      </c>
      <c r="C34" s="11">
        <v>453.01</v>
      </c>
      <c r="D34" s="11">
        <v>453.01</v>
      </c>
      <c r="E34" s="11">
        <v>453.01</v>
      </c>
      <c r="F34" s="11">
        <v>453.01</v>
      </c>
      <c r="G34" s="11">
        <v>453.01</v>
      </c>
      <c r="H34" s="11">
        <v>453.01</v>
      </c>
      <c r="I34" s="11">
        <v>453.01</v>
      </c>
      <c r="J34" s="11">
        <v>453.01</v>
      </c>
      <c r="K34" s="11">
        <v>453.01</v>
      </c>
      <c r="L34" s="11">
        <v>453.01</v>
      </c>
      <c r="M34" s="11">
        <v>453.01</v>
      </c>
      <c r="N34" s="11">
        <f t="shared" si="19"/>
        <v>5436.1200000000017</v>
      </c>
    </row>
    <row r="35" spans="1:14" ht="22.5" customHeight="1" thickBot="1" x14ac:dyDescent="0.3">
      <c r="A35" s="4" t="s">
        <v>6</v>
      </c>
      <c r="B35" s="11">
        <f t="shared" ref="B35:M35" si="21">3530.2*3.15</f>
        <v>11120.13</v>
      </c>
      <c r="C35" s="11">
        <f t="shared" si="21"/>
        <v>11120.13</v>
      </c>
      <c r="D35" s="11">
        <f t="shared" si="21"/>
        <v>11120.13</v>
      </c>
      <c r="E35" s="11">
        <f t="shared" si="21"/>
        <v>11120.13</v>
      </c>
      <c r="F35" s="11">
        <f t="shared" si="21"/>
        <v>11120.13</v>
      </c>
      <c r="G35" s="11">
        <f t="shared" si="21"/>
        <v>11120.13</v>
      </c>
      <c r="H35" s="11">
        <f t="shared" si="21"/>
        <v>11120.13</v>
      </c>
      <c r="I35" s="11">
        <f t="shared" si="21"/>
        <v>11120.13</v>
      </c>
      <c r="J35" s="11">
        <f t="shared" si="21"/>
        <v>11120.13</v>
      </c>
      <c r="K35" s="11">
        <f t="shared" si="21"/>
        <v>11120.13</v>
      </c>
      <c r="L35" s="11">
        <f t="shared" si="21"/>
        <v>11120.13</v>
      </c>
      <c r="M35" s="11">
        <f t="shared" si="21"/>
        <v>11120.13</v>
      </c>
      <c r="N35" s="11">
        <f t="shared" si="19"/>
        <v>133441.56000000003</v>
      </c>
    </row>
    <row r="36" spans="1:14" ht="21.75" customHeight="1" thickBot="1" x14ac:dyDescent="0.3">
      <c r="A36" s="4" t="s">
        <v>43</v>
      </c>
      <c r="B36" s="11">
        <v>4830</v>
      </c>
      <c r="C36" s="11">
        <v>4185</v>
      </c>
      <c r="D36" s="11">
        <v>4905</v>
      </c>
      <c r="E36" s="11">
        <v>4505</v>
      </c>
      <c r="F36" s="11">
        <v>4440</v>
      </c>
      <c r="G36" s="11">
        <v>4375</v>
      </c>
      <c r="H36" s="11">
        <v>5070</v>
      </c>
      <c r="I36" s="11">
        <v>4470</v>
      </c>
      <c r="J36" s="11">
        <v>5700</v>
      </c>
      <c r="K36" s="11">
        <v>5470</v>
      </c>
      <c r="L36" s="11">
        <v>4880</v>
      </c>
      <c r="M36" s="11">
        <v>4305</v>
      </c>
      <c r="N36" s="11">
        <f t="shared" si="19"/>
        <v>57135</v>
      </c>
    </row>
    <row r="37" spans="1:14" ht="24.75" customHeight="1" thickBot="1" x14ac:dyDescent="0.3">
      <c r="A37" s="4" t="s">
        <v>25</v>
      </c>
      <c r="B37" s="11">
        <v>900</v>
      </c>
      <c r="C37" s="11">
        <v>900</v>
      </c>
      <c r="D37" s="11">
        <v>900</v>
      </c>
      <c r="E37" s="11">
        <v>900</v>
      </c>
      <c r="F37" s="11">
        <v>900</v>
      </c>
      <c r="G37" s="11">
        <v>900</v>
      </c>
      <c r="H37" s="11">
        <v>900</v>
      </c>
      <c r="I37" s="11">
        <v>900</v>
      </c>
      <c r="J37" s="11">
        <v>900</v>
      </c>
      <c r="K37" s="11">
        <v>900</v>
      </c>
      <c r="L37" s="11">
        <v>900</v>
      </c>
      <c r="M37" s="11">
        <v>900</v>
      </c>
      <c r="N37" s="11">
        <f t="shared" si="19"/>
        <v>10800</v>
      </c>
    </row>
    <row r="38" spans="1:14" ht="24.75" customHeight="1" thickBot="1" x14ac:dyDescent="0.3">
      <c r="A38" s="4" t="s">
        <v>14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15244.85</v>
      </c>
      <c r="J38" s="11">
        <v>0</v>
      </c>
      <c r="K38" s="11">
        <v>0</v>
      </c>
      <c r="L38" s="11">
        <v>0</v>
      </c>
      <c r="M38" s="11">
        <v>0</v>
      </c>
      <c r="N38" s="11">
        <f t="shared" si="19"/>
        <v>15244.85</v>
      </c>
    </row>
    <row r="39" spans="1:14" ht="24" customHeight="1" thickBot="1" x14ac:dyDescent="0.3">
      <c r="A39" s="4" t="s">
        <v>10</v>
      </c>
      <c r="B39" s="11">
        <f>105</f>
        <v>105</v>
      </c>
      <c r="C39" s="11">
        <v>0</v>
      </c>
      <c r="D39" s="11">
        <f>204861.28+969.9+1153.9</f>
        <v>206985.08</v>
      </c>
      <c r="E39" s="11">
        <f>1405+861+1412.8</f>
        <v>3678.8</v>
      </c>
      <c r="F39" s="11">
        <f>1838.6+488.3</f>
        <v>2326.9</v>
      </c>
      <c r="G39" s="11">
        <f>25299.02</f>
        <v>25299.02</v>
      </c>
      <c r="H39" s="11">
        <f>1669.3+1025+4672.1</f>
        <v>7366.4000000000005</v>
      </c>
      <c r="I39" s="11">
        <f>105</f>
        <v>105</v>
      </c>
      <c r="J39" s="11">
        <f>105</f>
        <v>105</v>
      </c>
      <c r="K39" s="11">
        <f>1467.2+11634.5+90000+105</f>
        <v>103206.7</v>
      </c>
      <c r="L39" s="11">
        <f>105+834.2+34556.19</f>
        <v>35495.39</v>
      </c>
      <c r="M39" s="11">
        <f>105</f>
        <v>105</v>
      </c>
      <c r="N39" s="11">
        <f t="shared" si="19"/>
        <v>384778.29</v>
      </c>
    </row>
    <row r="40" spans="1:14" ht="22.5" customHeight="1" thickBot="1" x14ac:dyDescent="0.3">
      <c r="A40" s="9" t="s">
        <v>23</v>
      </c>
      <c r="B40" s="10">
        <f t="shared" ref="B40:M40" si="22">SUM(B26:B39)</f>
        <v>77760.195250000004</v>
      </c>
      <c r="C40" s="10">
        <f t="shared" si="22"/>
        <v>61622.685569999994</v>
      </c>
      <c r="D40" s="10">
        <f t="shared" si="22"/>
        <v>269792.99688999995</v>
      </c>
      <c r="E40" s="10">
        <f t="shared" si="22"/>
        <v>62923.56076</v>
      </c>
      <c r="F40" s="10">
        <f t="shared" si="22"/>
        <v>60670.141869999999</v>
      </c>
      <c r="G40" s="10">
        <f t="shared" si="22"/>
        <v>90028.695070000002</v>
      </c>
      <c r="H40" s="10">
        <f t="shared" si="22"/>
        <v>77895.553199999995</v>
      </c>
      <c r="I40" s="10">
        <f t="shared" si="22"/>
        <v>74017.758390000003</v>
      </c>
      <c r="J40" s="10">
        <f t="shared" si="22"/>
        <v>60489.723869999994</v>
      </c>
      <c r="K40" s="10">
        <f t="shared" si="22"/>
        <v>164366.74816999998</v>
      </c>
      <c r="L40" s="10">
        <f t="shared" si="22"/>
        <v>96196.331749999983</v>
      </c>
      <c r="M40" s="10">
        <f t="shared" si="22"/>
        <v>65024.842799999999</v>
      </c>
      <c r="N40" s="10">
        <f>SUM(B40:M40)</f>
        <v>1160789.2335899998</v>
      </c>
    </row>
    <row r="41" spans="1:14" ht="23.25" customHeight="1" thickBot="1" x14ac:dyDescent="0.3">
      <c r="A41" s="4" t="s">
        <v>5</v>
      </c>
      <c r="B41" s="18">
        <f>B16-B40</f>
        <v>47573.504750000007</v>
      </c>
      <c r="C41" s="18">
        <f>C16-C40</f>
        <v>36400.654430000002</v>
      </c>
      <c r="D41" s="18">
        <f>D16-D40</f>
        <v>-174645.94688999996</v>
      </c>
      <c r="E41" s="18">
        <f>E16-E40</f>
        <v>40656.349240000003</v>
      </c>
      <c r="F41" s="18">
        <f>F16-F40</f>
        <v>14053.348130000006</v>
      </c>
      <c r="G41" s="18">
        <f>G16-G40</f>
        <v>-15839.765070000009</v>
      </c>
      <c r="H41" s="18">
        <f>H16-H40</f>
        <v>495.85680000000866</v>
      </c>
      <c r="I41" s="18">
        <f>I16-I40</f>
        <v>1867.191610000009</v>
      </c>
      <c r="J41" s="18">
        <f>J16-J40</f>
        <v>40283.166130000005</v>
      </c>
      <c r="K41" s="18">
        <f>K16-K40</f>
        <v>-81763.048169999951</v>
      </c>
      <c r="L41" s="18">
        <f>L16-L40</f>
        <v>-28778.121749999991</v>
      </c>
      <c r="M41" s="18">
        <f>M16-M40</f>
        <v>13527.827199999985</v>
      </c>
      <c r="N41" s="11">
        <f>N16-N40</f>
        <v>-106168.98358999984</v>
      </c>
    </row>
    <row r="42" spans="1:14" ht="23.25" customHeight="1" thickBot="1" x14ac:dyDescent="0.3">
      <c r="A42" s="4" t="s">
        <v>7</v>
      </c>
      <c r="B42" s="14">
        <f>B5+B41</f>
        <v>-429376.10524999996</v>
      </c>
      <c r="C42" s="14">
        <f>C5+C41</f>
        <v>-392975.45081999997</v>
      </c>
      <c r="D42" s="14">
        <f>D5+D41</f>
        <v>-567621.39770999993</v>
      </c>
      <c r="E42" s="14">
        <f>E5+E41</f>
        <v>-526965.04846999992</v>
      </c>
      <c r="F42" s="14">
        <f>F5+F41</f>
        <v>-512911.70033999992</v>
      </c>
      <c r="G42" s="14">
        <f>G5+G41</f>
        <v>-528751.46540999995</v>
      </c>
      <c r="H42" s="14">
        <f>H5+H41</f>
        <v>-528255.60861</v>
      </c>
      <c r="I42" s="14">
        <f>I5+I41</f>
        <v>-526388.41700000002</v>
      </c>
      <c r="J42" s="14">
        <f>J5+J41</f>
        <v>-486105.25086999999</v>
      </c>
      <c r="K42" s="14">
        <f>K5+K41</f>
        <v>-567868.29903999995</v>
      </c>
      <c r="L42" s="14">
        <f>L5+L41</f>
        <v>-596646.42078999989</v>
      </c>
      <c r="M42" s="14">
        <f>M5+M41</f>
        <v>-583118.59358999995</v>
      </c>
      <c r="N42" s="14">
        <f>N5+N41</f>
        <v>-583118.59358999983</v>
      </c>
    </row>
    <row r="43" spans="1:14" ht="27" customHeight="1" thickBot="1" x14ac:dyDescent="0.3">
      <c r="A43" s="15" t="s">
        <v>11</v>
      </c>
      <c r="B43" s="19">
        <f>B6+B16-B7</f>
        <v>-296633.01</v>
      </c>
      <c r="C43" s="19">
        <f>C6+C16-C7</f>
        <v>-297848.86</v>
      </c>
      <c r="D43" s="19">
        <f>D6+D16-D7</f>
        <v>-288002.74</v>
      </c>
      <c r="E43" s="19">
        <f>E6+E16-E7</f>
        <v>-270595.84999999998</v>
      </c>
      <c r="F43" s="19">
        <f>F6+F16-F7</f>
        <v>-278618.14999999997</v>
      </c>
      <c r="G43" s="19">
        <f>G6+G16-G7</f>
        <v>-287175.00999999995</v>
      </c>
      <c r="H43" s="19">
        <f>H6+H16-H7</f>
        <v>-298023.89999999997</v>
      </c>
      <c r="I43" s="19">
        <f>I6+I16-I7</f>
        <v>-316181.37999999995</v>
      </c>
      <c r="J43" s="19">
        <f>J6+J16-J7</f>
        <v>-298154.27999999991</v>
      </c>
      <c r="K43" s="19">
        <f>K6+K16-K7</f>
        <v>-298296.36999999988</v>
      </c>
      <c r="L43" s="19">
        <f>L6+L16-L7</f>
        <v>-315174.30999999988</v>
      </c>
      <c r="M43" s="19">
        <f>M6+M16-M7</f>
        <v>-321468.53999999992</v>
      </c>
      <c r="N43" s="19">
        <f>N6+N16-N7</f>
        <v>-321468.54000000004</v>
      </c>
    </row>
  </sheetData>
  <mergeCells count="1">
    <mergeCell ref="A1:N1"/>
  </mergeCells>
  <phoneticPr fontId="2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2024-03-01T03:02:57Z</cp:lastPrinted>
  <dcterms:created xsi:type="dcterms:W3CDTF">2011-06-06T03:25:48Z</dcterms:created>
  <dcterms:modified xsi:type="dcterms:W3CDTF">2024-03-01T03:16:03Z</dcterms:modified>
</cp:coreProperties>
</file>