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M39" i="1" l="1"/>
  <c r="K39" i="1" l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J39" i="1" l="1"/>
  <c r="I39" i="1" l="1"/>
  <c r="I35" i="1" l="1"/>
  <c r="J35" i="1"/>
  <c r="H35" i="1"/>
  <c r="J29" i="1" l="1"/>
  <c r="J17" i="1"/>
  <c r="J28" i="1"/>
  <c r="J8" i="1"/>
  <c r="H39" i="1" l="1"/>
  <c r="I29" i="1" l="1"/>
  <c r="I17" i="1"/>
  <c r="I28" i="1"/>
  <c r="I8" i="1"/>
  <c r="H29" i="1" l="1"/>
  <c r="H17" i="1"/>
  <c r="H28" i="1"/>
  <c r="H8" i="1"/>
  <c r="H30" i="1" l="1"/>
  <c r="I30" i="1"/>
  <c r="J30" i="1"/>
  <c r="H27" i="1"/>
  <c r="I27" i="1"/>
  <c r="J27" i="1"/>
  <c r="H26" i="1"/>
  <c r="I26" i="1"/>
  <c r="J26" i="1"/>
  <c r="F39" i="1" l="1"/>
  <c r="G31" i="1" l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E39" i="1" l="1"/>
  <c r="E35" i="1" l="1"/>
  <c r="F35" i="1"/>
  <c r="G35" i="1"/>
  <c r="E30" i="1"/>
  <c r="F30" i="1"/>
  <c r="G30" i="1"/>
  <c r="E27" i="1"/>
  <c r="F27" i="1"/>
  <c r="G27" i="1"/>
  <c r="E26" i="1"/>
  <c r="F26" i="1"/>
  <c r="G26" i="1"/>
  <c r="D39" i="1" l="1"/>
  <c r="C39" i="1" l="1"/>
  <c r="D29" i="1" l="1"/>
  <c r="D17" i="1"/>
  <c r="D28" i="1"/>
  <c r="D8" i="1"/>
  <c r="C29" i="1" l="1"/>
  <c r="C17" i="1"/>
  <c r="C28" i="1"/>
  <c r="C8" i="1"/>
  <c r="B39" i="1" l="1"/>
  <c r="B29" i="1" l="1"/>
  <c r="B17" i="1"/>
  <c r="B28" i="1"/>
  <c r="B8" i="1"/>
  <c r="C35" i="1" l="1"/>
  <c r="D35" i="1"/>
  <c r="C30" i="1"/>
  <c r="D30" i="1"/>
  <c r="C27" i="1"/>
  <c r="D27" i="1"/>
  <c r="C26" i="1"/>
  <c r="D26" i="1"/>
  <c r="B35" i="1"/>
  <c r="B30" i="1"/>
  <c r="B27" i="1"/>
  <c r="B26" i="1"/>
  <c r="N23" i="1" l="1"/>
  <c r="N14" i="1"/>
  <c r="N6" i="1" l="1"/>
  <c r="N5" i="1"/>
  <c r="M7" i="1" l="1"/>
  <c r="N8" i="1"/>
  <c r="K7" i="1"/>
  <c r="N26" i="1"/>
  <c r="N27" i="1"/>
  <c r="N30" i="1"/>
  <c r="N31" i="1"/>
  <c r="N32" i="1"/>
  <c r="N33" i="1"/>
  <c r="N34" i="1"/>
  <c r="N35" i="1"/>
  <c r="N36" i="1"/>
  <c r="N37" i="1"/>
  <c r="N38" i="1"/>
  <c r="N39" i="1"/>
  <c r="N18" i="1"/>
  <c r="N19" i="1"/>
  <c r="N20" i="1"/>
  <c r="N21" i="1"/>
  <c r="N22" i="1"/>
  <c r="N24" i="1"/>
  <c r="N17" i="1"/>
  <c r="K16" i="1"/>
  <c r="L16" i="1"/>
  <c r="M16" i="1"/>
  <c r="N9" i="1"/>
  <c r="N10" i="1"/>
  <c r="N11" i="1"/>
  <c r="N12" i="1"/>
  <c r="N13" i="1"/>
  <c r="N15" i="1"/>
  <c r="M40" i="1" l="1"/>
  <c r="M41" i="1" s="1"/>
  <c r="L40" i="1"/>
  <c r="L41" i="1" s="1"/>
  <c r="L7" i="1"/>
  <c r="K40" i="1"/>
  <c r="K41" i="1" s="1"/>
  <c r="N29" i="1" l="1"/>
  <c r="H16" i="1" l="1"/>
  <c r="I16" i="1"/>
  <c r="J16" i="1"/>
  <c r="H7" i="1"/>
  <c r="J40" i="1" l="1"/>
  <c r="J41" i="1" s="1"/>
  <c r="J7" i="1"/>
  <c r="I7" i="1"/>
  <c r="I40" i="1"/>
  <c r="I41" i="1" s="1"/>
  <c r="H40" i="1" l="1"/>
  <c r="H41" i="1" s="1"/>
  <c r="N28" i="1" l="1"/>
  <c r="E16" i="1"/>
  <c r="F16" i="1"/>
  <c r="G16" i="1"/>
  <c r="E7" i="1"/>
  <c r="F7" i="1"/>
  <c r="G7" i="1"/>
  <c r="D16" i="1"/>
  <c r="D7" i="1"/>
  <c r="C16" i="1"/>
  <c r="C7" i="1"/>
  <c r="B16" i="1"/>
  <c r="B7" i="1"/>
  <c r="G40" i="1" l="1"/>
  <c r="G41" i="1" s="1"/>
  <c r="F40" i="1"/>
  <c r="F41" i="1" s="1"/>
  <c r="N16" i="1"/>
  <c r="N7" i="1"/>
  <c r="D40" i="1"/>
  <c r="D41" i="1" s="1"/>
  <c r="C40" i="1"/>
  <c r="C41" i="1" s="1"/>
  <c r="B43" i="1"/>
  <c r="C6" i="1" s="1"/>
  <c r="C43" i="1" s="1"/>
  <c r="D6" i="1" s="1"/>
  <c r="D43" i="1" s="1"/>
  <c r="E6" i="1" s="1"/>
  <c r="E43" i="1" s="1"/>
  <c r="F6" i="1" s="1"/>
  <c r="F43" i="1" l="1"/>
  <c r="G6" i="1" s="1"/>
  <c r="G43" i="1" s="1"/>
  <c r="H6" i="1" s="1"/>
  <c r="H43" i="1" s="1"/>
  <c r="I6" i="1" s="1"/>
  <c r="I43" i="1" s="1"/>
  <c r="J6" i="1" s="1"/>
  <c r="E40" i="1"/>
  <c r="B40" i="1"/>
  <c r="B41" i="1" s="1"/>
  <c r="B42" i="1" s="1"/>
  <c r="C5" i="1" s="1"/>
  <c r="J43" i="1" l="1"/>
  <c r="K6" i="1" s="1"/>
  <c r="K43" i="1" s="1"/>
  <c r="L6" i="1" s="1"/>
  <c r="L43" i="1" s="1"/>
  <c r="M6" i="1" s="1"/>
  <c r="M43" i="1" s="1"/>
  <c r="E41" i="1"/>
  <c r="N40" i="1"/>
  <c r="C42" i="1"/>
  <c r="D5" i="1" s="1"/>
  <c r="D42" i="1" l="1"/>
  <c r="E5" i="1" l="1"/>
  <c r="E42" i="1"/>
  <c r="F42" i="1" s="1"/>
  <c r="G42" i="1" s="1"/>
  <c r="F5" i="1" l="1"/>
  <c r="G5" i="1" l="1"/>
  <c r="H5" i="1" l="1"/>
  <c r="H42" i="1"/>
  <c r="I42" i="1" l="1"/>
  <c r="J42" i="1" s="1"/>
  <c r="I5" i="1"/>
  <c r="J5" i="1" l="1"/>
  <c r="N43" i="1"/>
  <c r="N41" i="1"/>
  <c r="N42" i="1"/>
  <c r="K5" i="1" l="1"/>
  <c r="K42" i="1"/>
  <c r="L5" i="1" l="1"/>
  <c r="L42" i="1"/>
  <c r="M42" i="1" l="1"/>
  <c r="M5" i="1"/>
</calcChain>
</file>

<file path=xl/comments1.xml><?xml version="1.0" encoding="utf-8"?>
<comments xmlns="http://schemas.openxmlformats.org/spreadsheetml/2006/main">
  <authors>
    <author>User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<sst xmlns="http://schemas.openxmlformats.org/spreadsheetml/2006/main" count="54" uniqueCount="45">
  <si>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</si>
  <si>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</si>
  <si>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</si>
  <si>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</si>
  <si>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</si>
  <si>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</si>
  <si>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</si>
  <si>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</si>
  <si>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</si>
  <si>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</si>
  <si>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</si>
  <si>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</si>
  <si>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</si>
  <si>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</si>
  <si>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</si>
  <si>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</si>
  <si>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</si>
  <si>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</si>
  <si>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</si>
  <si>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</si>
  <si>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</si>
  <si>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</si>
  <si>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</si>
  <si>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</si>
  <si>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</si>
  <si>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Тех.обслуживание ОПУ </t>
  </si>
  <si>
    <t>Отведение сточных вод ОИ</t>
  </si>
  <si>
    <t>Диагностика газового оборудования</t>
  </si>
  <si>
    <t>Содержание жилья и текущий ремонт,  ОПУ</t>
  </si>
  <si>
    <t xml:space="preserve">Содержание жилья и текущий ремонт,  ОПУ </t>
  </si>
  <si>
    <t>Январь 2023г.</t>
  </si>
  <si>
    <t>Февраль 2023г.</t>
  </si>
  <si>
    <t>Март 2023г.</t>
  </si>
  <si>
    <t>Апрель 2023г</t>
  </si>
  <si>
    <t>Май 2023г</t>
  </si>
  <si>
    <t>Июнь 2023г.</t>
  </si>
  <si>
    <t>Июль 2023г.</t>
  </si>
  <si>
    <t>Август 2023г.</t>
  </si>
  <si>
    <t>Сентябрь 2023г.</t>
  </si>
  <si>
    <t>Октябрь 2023г</t>
  </si>
  <si>
    <t>Ноябрь 2023г</t>
  </si>
  <si>
    <t>Декабрь 2023г</t>
  </si>
  <si>
    <t>Всего:                       за  2023г</t>
  </si>
  <si>
    <t>Возмещение расходов совета МКД</t>
  </si>
  <si>
    <t xml:space="preserve">      ОТЧЕТ по дому Васильева, 49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</si>
</sst>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0" xfId="0" applyBorder="1"/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6" fillId="0" borderId="6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64" fontId="6" fillId="0" borderId="4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="75" workbookViewId="0">
      <selection activeCell="B2" sqref="B1:K1048576"/>
    </sheetView>
  </sheetViews>
  <sheetFormatPr defaultRowHeight="13.2" x14ac:dyDescent="0.25"/>
  <cols>
    <col min="1" max="1" width="58.6640625" customWidth="1"/>
    <col min="2" max="2" width="14.33203125" customWidth="1"/>
    <col min="3" max="3" width="15" customWidth="1"/>
    <col min="4" max="4" width="14.109375" customWidth="1"/>
    <col min="5" max="5" width="14.88671875" customWidth="1"/>
    <col min="6" max="6" width="14.33203125" customWidth="1"/>
    <col min="7" max="7" width="14.109375" customWidth="1"/>
    <col min="8" max="13" width="14.33203125" customWidth="1"/>
    <col min="14" max="14" width="16.77734375" customWidth="1"/>
  </cols>
  <sheetData>
    <row r="1" spans="1:18" ht="20.25" customHeight="1" x14ac:dyDescent="0.4">
      <c r="A1" s="23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16</v>
      </c>
      <c r="B5" s="20">
        <v>-459664.88</v>
      </c>
      <c r="C5" s="20">
        <f t="shared" ref="C5:D6" si="0">B42</f>
        <v>-449199.08984000003</v>
      </c>
      <c r="D5" s="20">
        <f t="shared" si="0"/>
        <v>-465959.29948000005</v>
      </c>
      <c r="E5" s="20">
        <f t="shared" ref="E5:E6" si="1">D42</f>
        <v>-449229.01144000003</v>
      </c>
      <c r="F5" s="20">
        <f t="shared" ref="F5:F6" si="2">E42</f>
        <v>-403047.96196000004</v>
      </c>
      <c r="G5" s="20">
        <f t="shared" ref="G5:G6" si="3">F42</f>
        <v>-599521.43136000005</v>
      </c>
      <c r="H5" s="20">
        <f t="shared" ref="H5:H6" si="4">G42</f>
        <v>-590898.88389000006</v>
      </c>
      <c r="I5" s="20">
        <f t="shared" ref="I5:I6" si="5">H42</f>
        <v>-557640.63248000003</v>
      </c>
      <c r="J5" s="20">
        <f t="shared" ref="J5:J6" si="6">I42</f>
        <v>-551737.24611000007</v>
      </c>
      <c r="K5" s="20">
        <f t="shared" ref="K5:K6" si="7">J42</f>
        <v>-535387.82480000006</v>
      </c>
      <c r="L5" s="20">
        <f t="shared" ref="L5:L6" si="8">K42</f>
        <v>-519627.65694000007</v>
      </c>
      <c r="M5" s="20">
        <f t="shared" ref="M5:M6" si="9">L42</f>
        <v>-491372.86870000011</v>
      </c>
      <c r="N5" s="20">
        <f>B5</f>
        <v>-459664.88</v>
      </c>
    </row>
    <row r="6" spans="1:18" ht="21" customHeight="1" thickBot="1" x14ac:dyDescent="0.3">
      <c r="A6" s="7" t="s">
        <v>13</v>
      </c>
      <c r="B6" s="20">
        <v>-154946.65</v>
      </c>
      <c r="C6" s="20">
        <f t="shared" si="0"/>
        <v>-157394.47999999998</v>
      </c>
      <c r="D6" s="20">
        <f t="shared" si="0"/>
        <v>-164713.64999999997</v>
      </c>
      <c r="E6" s="20">
        <f t="shared" si="1"/>
        <v>-160739.03999999998</v>
      </c>
      <c r="F6" s="20">
        <f t="shared" si="2"/>
        <v>-121636.43999999997</v>
      </c>
      <c r="G6" s="20">
        <f t="shared" si="3"/>
        <v>-128525.72999999997</v>
      </c>
      <c r="H6" s="20">
        <f t="shared" si="4"/>
        <v>-131095.24999999997</v>
      </c>
      <c r="I6" s="20">
        <f t="shared" si="5"/>
        <v>-129930.37999999998</v>
      </c>
      <c r="J6" s="20">
        <f t="shared" si="6"/>
        <v>-129533.13999999997</v>
      </c>
      <c r="K6" s="20">
        <f t="shared" si="7"/>
        <v>-138604.53999999998</v>
      </c>
      <c r="L6" s="20">
        <f t="shared" si="8"/>
        <v>-148624.81</v>
      </c>
      <c r="M6" s="20">
        <f t="shared" si="9"/>
        <v>-151839</v>
      </c>
      <c r="N6" s="20">
        <f>B6</f>
        <v>-154946.65</v>
      </c>
    </row>
    <row r="7" spans="1:18" ht="20.25" customHeight="1" thickBot="1" x14ac:dyDescent="0.3">
      <c r="A7" s="8" t="s">
        <v>12</v>
      </c>
      <c r="B7" s="11">
        <f>SUM(B8:B15)</f>
        <v>72722.58</v>
      </c>
      <c r="C7" s="11">
        <f>SUM(C8:C15)</f>
        <v>72722.58</v>
      </c>
      <c r="D7" s="11">
        <f>SUM(D8:D15)</f>
        <v>74798.22</v>
      </c>
      <c r="E7" s="11">
        <f t="shared" ref="E7:M7" si="10">SUM(E8:E15)</f>
        <v>75690.84</v>
      </c>
      <c r="F7" s="11">
        <f t="shared" si="10"/>
        <v>75231.7</v>
      </c>
      <c r="G7" s="11">
        <f t="shared" si="10"/>
        <v>75303.210000000006</v>
      </c>
      <c r="H7" s="11">
        <f t="shared" si="10"/>
        <v>93403.330000000016</v>
      </c>
      <c r="I7" s="11">
        <f t="shared" si="10"/>
        <v>85868.310000000012</v>
      </c>
      <c r="J7" s="11">
        <f t="shared" si="10"/>
        <v>89662.73000000001</v>
      </c>
      <c r="K7" s="11">
        <f t="shared" si="10"/>
        <v>90040.080000000016</v>
      </c>
      <c r="L7" s="11">
        <f t="shared" si="10"/>
        <v>89366.82</v>
      </c>
      <c r="M7" s="11">
        <f t="shared" si="10"/>
        <v>76045.720000000016</v>
      </c>
      <c r="N7" s="11">
        <f>SUM(B7:M7)</f>
        <v>970856.12000000011</v>
      </c>
    </row>
    <row r="8" spans="1:18" ht="24.75" customHeight="1" thickBot="1" x14ac:dyDescent="0.3">
      <c r="A8" s="4" t="s">
        <v>28</v>
      </c>
      <c r="B8" s="12">
        <f t="shared" ref="B8:G8" si="11">65728.68+1484.19</f>
        <v>67212.87</v>
      </c>
      <c r="C8" s="12">
        <f t="shared" si="11"/>
        <v>67212.87</v>
      </c>
      <c r="D8" s="12">
        <f t="shared" si="11"/>
        <v>67212.87</v>
      </c>
      <c r="E8" s="12">
        <f t="shared" si="11"/>
        <v>67212.87</v>
      </c>
      <c r="F8" s="12">
        <f t="shared" si="11"/>
        <v>67212.87</v>
      </c>
      <c r="G8" s="12">
        <f t="shared" si="11"/>
        <v>67212.87</v>
      </c>
      <c r="H8" s="12">
        <f t="shared" ref="H8:M8" si="12">78874.41+1484.19</f>
        <v>80358.600000000006</v>
      </c>
      <c r="I8" s="12">
        <f t="shared" si="12"/>
        <v>80358.600000000006</v>
      </c>
      <c r="J8" s="12">
        <f t="shared" si="12"/>
        <v>80358.600000000006</v>
      </c>
      <c r="K8" s="12">
        <f t="shared" si="12"/>
        <v>80358.600000000006</v>
      </c>
      <c r="L8" s="12">
        <f t="shared" si="12"/>
        <v>80358.600000000006</v>
      </c>
      <c r="M8" s="12">
        <f t="shared" si="12"/>
        <v>80358.600000000006</v>
      </c>
      <c r="N8" s="12">
        <f>SUM(B8:M8)</f>
        <v>885428.81999999983</v>
      </c>
    </row>
    <row r="9" spans="1:18" ht="22.2" customHeight="1" thickBot="1" x14ac:dyDescent="0.3">
      <c r="A9" s="4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486.92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f t="shared" ref="N9:N15" si="13">SUM(B9:M9)</f>
        <v>486.92</v>
      </c>
    </row>
    <row r="10" spans="1:18" ht="24.75" customHeight="1" thickBot="1" x14ac:dyDescent="0.3">
      <c r="A10" s="4" t="s">
        <v>18</v>
      </c>
      <c r="B10" s="12">
        <v>234.07</v>
      </c>
      <c r="C10" s="12">
        <v>234.07</v>
      </c>
      <c r="D10" s="12">
        <v>234.07</v>
      </c>
      <c r="E10" s="12">
        <v>234.07</v>
      </c>
      <c r="F10" s="12">
        <v>234.07</v>
      </c>
      <c r="G10" s="12">
        <v>234.07</v>
      </c>
      <c r="H10" s="12">
        <v>234.07</v>
      </c>
      <c r="I10" s="12">
        <v>234.07</v>
      </c>
      <c r="J10" s="12">
        <v>234.07</v>
      </c>
      <c r="K10" s="12">
        <v>234.07</v>
      </c>
      <c r="L10" s="12">
        <v>234.07</v>
      </c>
      <c r="M10" s="12">
        <v>234.07</v>
      </c>
      <c r="N10" s="12">
        <f t="shared" si="13"/>
        <v>2808.84</v>
      </c>
    </row>
    <row r="11" spans="1:18" ht="24.75" customHeight="1" thickBot="1" x14ac:dyDescent="0.3">
      <c r="A11" s="4" t="s">
        <v>19</v>
      </c>
      <c r="B11" s="12">
        <v>0</v>
      </c>
      <c r="C11" s="12">
        <v>0</v>
      </c>
      <c r="D11" s="12">
        <v>2075.64</v>
      </c>
      <c r="E11" s="12">
        <v>2968.26</v>
      </c>
      <c r="F11" s="12">
        <v>2509.12</v>
      </c>
      <c r="G11" s="12">
        <v>2580.63</v>
      </c>
      <c r="H11" s="12">
        <v>7048.1</v>
      </c>
      <c r="I11" s="12">
        <v>0</v>
      </c>
      <c r="J11" s="12">
        <v>3794.42</v>
      </c>
      <c r="K11" s="12">
        <v>4171.7700000000004</v>
      </c>
      <c r="L11" s="12">
        <v>3498.51</v>
      </c>
      <c r="M11" s="12">
        <v>2743.81</v>
      </c>
      <c r="N11" s="12">
        <f t="shared" si="13"/>
        <v>31390.26</v>
      </c>
    </row>
    <row r="12" spans="1:18" ht="24.75" customHeight="1" thickBot="1" x14ac:dyDescent="0.3">
      <c r="A12" s="4" t="s">
        <v>26</v>
      </c>
      <c r="B12" s="12">
        <v>451.64</v>
      </c>
      <c r="C12" s="12">
        <v>451.64</v>
      </c>
      <c r="D12" s="12">
        <v>451.64</v>
      </c>
      <c r="E12" s="12">
        <v>451.64</v>
      </c>
      <c r="F12" s="12">
        <v>451.64</v>
      </c>
      <c r="G12" s="12">
        <v>451.64</v>
      </c>
      <c r="H12" s="12">
        <v>451.64</v>
      </c>
      <c r="I12" s="12">
        <v>451.64</v>
      </c>
      <c r="J12" s="12">
        <v>451.64</v>
      </c>
      <c r="K12" s="12">
        <v>451.64</v>
      </c>
      <c r="L12" s="12">
        <v>451.64</v>
      </c>
      <c r="M12" s="12">
        <v>451.64</v>
      </c>
      <c r="N12" s="12">
        <f t="shared" si="13"/>
        <v>5419.68</v>
      </c>
    </row>
    <row r="13" spans="1:18" ht="24.75" customHeight="1" thickBot="1" x14ac:dyDescent="0.3">
      <c r="A13" s="4" t="s">
        <v>43</v>
      </c>
      <c r="B13" s="12">
        <v>4224</v>
      </c>
      <c r="C13" s="12">
        <v>4224</v>
      </c>
      <c r="D13" s="12">
        <v>4224</v>
      </c>
      <c r="E13" s="12">
        <v>4224</v>
      </c>
      <c r="F13" s="12">
        <v>4224</v>
      </c>
      <c r="G13" s="12">
        <v>4224</v>
      </c>
      <c r="H13" s="12">
        <v>4224</v>
      </c>
      <c r="I13" s="12">
        <v>4224</v>
      </c>
      <c r="J13" s="12">
        <v>4224</v>
      </c>
      <c r="K13" s="12">
        <v>4224</v>
      </c>
      <c r="L13" s="12">
        <v>4224</v>
      </c>
      <c r="M13" s="12">
        <v>-8342.4</v>
      </c>
      <c r="N13" s="12">
        <f t="shared" si="13"/>
        <v>38121.599999999999</v>
      </c>
    </row>
    <row r="14" spans="1:18" ht="24.75" hidden="1" customHeight="1" thickBot="1" x14ac:dyDescent="0.3">
      <c r="A14" s="21" t="s">
        <v>27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>
        <f t="shared" si="13"/>
        <v>0</v>
      </c>
    </row>
    <row r="15" spans="1:18" ht="24.75" customHeight="1" thickBot="1" x14ac:dyDescent="0.3">
      <c r="A15" s="4" t="s">
        <v>15</v>
      </c>
      <c r="B15" s="12">
        <v>600</v>
      </c>
      <c r="C15" s="12">
        <v>600</v>
      </c>
      <c r="D15" s="12">
        <v>600</v>
      </c>
      <c r="E15" s="12">
        <v>600</v>
      </c>
      <c r="F15" s="12">
        <v>600</v>
      </c>
      <c r="G15" s="12">
        <v>600</v>
      </c>
      <c r="H15" s="12">
        <v>600</v>
      </c>
      <c r="I15" s="12">
        <v>600</v>
      </c>
      <c r="J15" s="12">
        <v>600</v>
      </c>
      <c r="K15" s="12">
        <v>600</v>
      </c>
      <c r="L15" s="12">
        <v>600</v>
      </c>
      <c r="M15" s="12">
        <v>600</v>
      </c>
      <c r="N15" s="12">
        <f t="shared" si="13"/>
        <v>7200</v>
      </c>
    </row>
    <row r="16" spans="1:18" ht="20.25" customHeight="1" thickBot="1" x14ac:dyDescent="0.3">
      <c r="A16" s="9" t="s">
        <v>8</v>
      </c>
      <c r="B16" s="13">
        <f>SUM(B17:B24)</f>
        <v>70274.75</v>
      </c>
      <c r="C16" s="13">
        <f>SUM(C17:C24)</f>
        <v>65403.409999999996</v>
      </c>
      <c r="D16" s="13">
        <f>SUM(D17:D24)</f>
        <v>78772.83</v>
      </c>
      <c r="E16" s="13">
        <f t="shared" ref="E16:M16" si="14">SUM(E17:E24)</f>
        <v>114793.44</v>
      </c>
      <c r="F16" s="13">
        <f t="shared" si="14"/>
        <v>68342.41</v>
      </c>
      <c r="G16" s="13">
        <f t="shared" si="14"/>
        <v>72733.69</v>
      </c>
      <c r="H16" s="13">
        <f t="shared" si="14"/>
        <v>94568.200000000012</v>
      </c>
      <c r="I16" s="13">
        <f t="shared" si="14"/>
        <v>86265.550000000017</v>
      </c>
      <c r="J16" s="13">
        <f t="shared" si="14"/>
        <v>80591.329999999987</v>
      </c>
      <c r="K16" s="13">
        <f t="shared" si="14"/>
        <v>80019.81</v>
      </c>
      <c r="L16" s="13">
        <f t="shared" si="14"/>
        <v>86152.63</v>
      </c>
      <c r="M16" s="13">
        <f t="shared" si="14"/>
        <v>82915.17</v>
      </c>
      <c r="N16" s="13">
        <f>SUM(B16:M16)</f>
        <v>980833.22</v>
      </c>
    </row>
    <row r="17" spans="1:15" ht="24" customHeight="1" thickBot="1" x14ac:dyDescent="0.3">
      <c r="A17" s="4" t="s">
        <v>29</v>
      </c>
      <c r="B17" s="12">
        <f>63097.36+11.68+1708.61+100</f>
        <v>64917.65</v>
      </c>
      <c r="C17" s="12">
        <f>56910.48+580.94+0.77+1277.76</f>
        <v>58769.950000000004</v>
      </c>
      <c r="D17" s="12">
        <f>69112.96+0.54+1544.97+323.21</f>
        <v>70981.680000000008</v>
      </c>
      <c r="E17" s="12">
        <f>98377.38+46.23+1577.57+135.14</f>
        <v>100136.32000000001</v>
      </c>
      <c r="F17" s="12">
        <f>59330.55+1355.03</f>
        <v>60685.58</v>
      </c>
      <c r="G17" s="12">
        <f>63161.45+1440.78</f>
        <v>64602.229999999996</v>
      </c>
      <c r="H17" s="12">
        <f>82559.47+111+1865.46</f>
        <v>84535.930000000008</v>
      </c>
      <c r="I17" s="12">
        <f>73001.35+1339.98</f>
        <v>74341.33</v>
      </c>
      <c r="J17" s="12">
        <f>73656.7+1321.59</f>
        <v>74978.289999999994</v>
      </c>
      <c r="K17" s="12">
        <f>70796.18+1287.63</f>
        <v>72083.81</v>
      </c>
      <c r="L17" s="12">
        <f>75755.62+1397.14</f>
        <v>77152.759999999995</v>
      </c>
      <c r="M17" s="12">
        <f>80412.95+1408.51</f>
        <v>81821.459999999992</v>
      </c>
      <c r="N17" s="12">
        <f>SUM(B17:M17)</f>
        <v>885006.99</v>
      </c>
    </row>
    <row r="18" spans="1:15" ht="26.25" customHeight="1" thickBot="1" x14ac:dyDescent="0.3">
      <c r="A18" s="4" t="s">
        <v>17</v>
      </c>
      <c r="B18" s="12">
        <v>11.03</v>
      </c>
      <c r="C18" s="12">
        <v>0.03</v>
      </c>
      <c r="D18" s="12">
        <v>3.39</v>
      </c>
      <c r="E18" s="12">
        <v>158.93</v>
      </c>
      <c r="F18" s="12">
        <v>0.01</v>
      </c>
      <c r="G18" s="12">
        <v>0</v>
      </c>
      <c r="H18" s="12">
        <v>101.89</v>
      </c>
      <c r="I18" s="12">
        <v>459.94</v>
      </c>
      <c r="J18" s="12">
        <v>33.31</v>
      </c>
      <c r="K18" s="12">
        <v>2.0299999999999998</v>
      </c>
      <c r="L18" s="12">
        <v>6.27</v>
      </c>
      <c r="M18" s="12">
        <v>0.43</v>
      </c>
      <c r="N18" s="12">
        <f t="shared" ref="N18:N24" si="15">SUM(B18:M18)</f>
        <v>777.25999999999988</v>
      </c>
    </row>
    <row r="19" spans="1:15" ht="26.25" customHeight="1" thickBot="1" x14ac:dyDescent="0.3">
      <c r="A19" s="4" t="s">
        <v>18</v>
      </c>
      <c r="B19" s="12">
        <v>27.55</v>
      </c>
      <c r="C19" s="12">
        <v>14.17</v>
      </c>
      <c r="D19" s="12">
        <v>68.17</v>
      </c>
      <c r="E19" s="12">
        <v>344.26</v>
      </c>
      <c r="F19" s="12">
        <v>207.73</v>
      </c>
      <c r="G19" s="12">
        <v>222.55</v>
      </c>
      <c r="H19" s="12">
        <v>292.55</v>
      </c>
      <c r="I19" s="12">
        <v>220.61</v>
      </c>
      <c r="J19" s="12">
        <v>219.54</v>
      </c>
      <c r="K19" s="12">
        <v>210.5</v>
      </c>
      <c r="L19" s="12">
        <v>225.85</v>
      </c>
      <c r="M19" s="12">
        <v>219.07</v>
      </c>
      <c r="N19" s="12">
        <f t="shared" si="15"/>
        <v>2272.5500000000002</v>
      </c>
    </row>
    <row r="20" spans="1:15" ht="26.25" customHeight="1" thickBot="1" x14ac:dyDescent="0.3">
      <c r="A20" s="4" t="s">
        <v>19</v>
      </c>
      <c r="B20" s="12">
        <v>467.52</v>
      </c>
      <c r="C20" s="12">
        <v>50.42</v>
      </c>
      <c r="D20" s="12">
        <v>221.4</v>
      </c>
      <c r="E20" s="12">
        <v>3971.82</v>
      </c>
      <c r="F20" s="12">
        <v>2533.81</v>
      </c>
      <c r="G20" s="12">
        <v>2385.9299999999998</v>
      </c>
      <c r="H20" s="12">
        <v>3667.19</v>
      </c>
      <c r="I20" s="12">
        <v>6663.6</v>
      </c>
      <c r="J20" s="12">
        <v>568.99</v>
      </c>
      <c r="K20" s="12">
        <v>3239.69</v>
      </c>
      <c r="L20" s="12">
        <v>3924.66</v>
      </c>
      <c r="M20" s="12">
        <v>3259.52</v>
      </c>
      <c r="N20" s="12">
        <f t="shared" si="15"/>
        <v>30954.550000000003</v>
      </c>
    </row>
    <row r="21" spans="1:15" ht="26.25" customHeight="1" thickBot="1" x14ac:dyDescent="0.3">
      <c r="A21" s="4" t="s">
        <v>26</v>
      </c>
      <c r="B21" s="12">
        <v>423.6</v>
      </c>
      <c r="C21" s="12">
        <v>389.21</v>
      </c>
      <c r="D21" s="12">
        <v>467.52</v>
      </c>
      <c r="E21" s="12">
        <v>641.16999999999996</v>
      </c>
      <c r="F21" s="12">
        <v>406.48</v>
      </c>
      <c r="G21" s="12">
        <v>433.91</v>
      </c>
      <c r="H21" s="12">
        <v>547.08000000000004</v>
      </c>
      <c r="I21" s="12">
        <v>426.07</v>
      </c>
      <c r="J21" s="12">
        <v>423.64</v>
      </c>
      <c r="K21" s="12">
        <v>406.16</v>
      </c>
      <c r="L21" s="12">
        <v>435.78</v>
      </c>
      <c r="M21" s="12">
        <v>422.71</v>
      </c>
      <c r="N21" s="12">
        <f t="shared" si="15"/>
        <v>5423.33</v>
      </c>
    </row>
    <row r="22" spans="1:15" ht="26.25" customHeight="1" thickBot="1" x14ac:dyDescent="0.3">
      <c r="A22" s="4" t="s">
        <v>43</v>
      </c>
      <c r="B22" s="12">
        <v>4027.4</v>
      </c>
      <c r="C22" s="12">
        <v>3579.63</v>
      </c>
      <c r="D22" s="12">
        <v>4430.67</v>
      </c>
      <c r="E22" s="12">
        <v>6740.94</v>
      </c>
      <c r="F22" s="12">
        <v>3828.8</v>
      </c>
      <c r="G22" s="12">
        <v>4089.07</v>
      </c>
      <c r="H22" s="12">
        <v>5023.5600000000004</v>
      </c>
      <c r="I22" s="12">
        <v>3754</v>
      </c>
      <c r="J22" s="12">
        <v>3967.56</v>
      </c>
      <c r="K22" s="12">
        <v>3677.62</v>
      </c>
      <c r="L22" s="12">
        <v>4007.31</v>
      </c>
      <c r="M22" s="12">
        <v>-3208.02</v>
      </c>
      <c r="N22" s="12">
        <f t="shared" si="15"/>
        <v>43918.54</v>
      </c>
    </row>
    <row r="23" spans="1:15" ht="26.25" hidden="1" customHeight="1" thickBot="1" x14ac:dyDescent="0.3">
      <c r="A23" s="21" t="s">
        <v>27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>
        <f t="shared" si="15"/>
        <v>0</v>
      </c>
    </row>
    <row r="24" spans="1:15" ht="26.25" customHeight="1" thickBot="1" x14ac:dyDescent="0.3">
      <c r="A24" s="4" t="s">
        <v>15</v>
      </c>
      <c r="B24" s="14">
        <v>400</v>
      </c>
      <c r="C24" s="14">
        <v>2600</v>
      </c>
      <c r="D24" s="14">
        <v>2600</v>
      </c>
      <c r="E24" s="14">
        <v>2800</v>
      </c>
      <c r="F24" s="14">
        <v>680</v>
      </c>
      <c r="G24" s="14">
        <v>1000</v>
      </c>
      <c r="H24" s="14">
        <v>400</v>
      </c>
      <c r="I24" s="14">
        <v>400</v>
      </c>
      <c r="J24" s="14">
        <v>400</v>
      </c>
      <c r="K24" s="14">
        <v>400</v>
      </c>
      <c r="L24" s="14">
        <v>400</v>
      </c>
      <c r="M24" s="14">
        <v>400</v>
      </c>
      <c r="N24" s="12">
        <f t="shared" si="15"/>
        <v>12480</v>
      </c>
      <c r="O24" s="3"/>
    </row>
    <row r="25" spans="1:15" ht="21.75" customHeight="1" thickBot="1" x14ac:dyDescent="0.3">
      <c r="A25" s="10" t="s">
        <v>24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</row>
    <row r="26" spans="1:15" ht="19.5" customHeight="1" thickBot="1" x14ac:dyDescent="0.3">
      <c r="A26" s="4" t="s">
        <v>1</v>
      </c>
      <c r="B26" s="12">
        <f>3533.8*0.6</f>
        <v>2120.2800000000002</v>
      </c>
      <c r="C26" s="12">
        <f t="shared" ref="C26:M26" si="16">3533.8*0.6</f>
        <v>2120.2800000000002</v>
      </c>
      <c r="D26" s="12">
        <f t="shared" si="16"/>
        <v>2120.2800000000002</v>
      </c>
      <c r="E26" s="12">
        <f t="shared" si="16"/>
        <v>2120.2800000000002</v>
      </c>
      <c r="F26" s="12">
        <f t="shared" si="16"/>
        <v>2120.2800000000002</v>
      </c>
      <c r="G26" s="12">
        <f t="shared" si="16"/>
        <v>2120.2800000000002</v>
      </c>
      <c r="H26" s="12">
        <f t="shared" si="16"/>
        <v>2120.2800000000002</v>
      </c>
      <c r="I26" s="12">
        <f t="shared" si="16"/>
        <v>2120.2800000000002</v>
      </c>
      <c r="J26" s="12">
        <f t="shared" si="16"/>
        <v>2120.2800000000002</v>
      </c>
      <c r="K26" s="12">
        <f t="shared" si="16"/>
        <v>2120.2800000000002</v>
      </c>
      <c r="L26" s="12">
        <f t="shared" si="16"/>
        <v>2120.2800000000002</v>
      </c>
      <c r="M26" s="12">
        <f t="shared" si="16"/>
        <v>2120.2800000000002</v>
      </c>
      <c r="N26" s="12">
        <f t="shared" ref="N26:N39" si="17">SUM(B26:M26)</f>
        <v>25443.359999999997</v>
      </c>
    </row>
    <row r="27" spans="1:15" ht="22.5" customHeight="1" thickBot="1" x14ac:dyDescent="0.3">
      <c r="A27" s="4" t="s">
        <v>2</v>
      </c>
      <c r="B27" s="12">
        <f t="shared" ref="B27:M27" si="18">3533.8*0.17</f>
        <v>600.74600000000009</v>
      </c>
      <c r="C27" s="12">
        <f t="shared" si="18"/>
        <v>600.74600000000009</v>
      </c>
      <c r="D27" s="12">
        <f t="shared" si="18"/>
        <v>600.74600000000009</v>
      </c>
      <c r="E27" s="12">
        <f t="shared" si="18"/>
        <v>600.74600000000009</v>
      </c>
      <c r="F27" s="12">
        <f t="shared" si="18"/>
        <v>600.74600000000009</v>
      </c>
      <c r="G27" s="12">
        <f t="shared" si="18"/>
        <v>600.74600000000009</v>
      </c>
      <c r="H27" s="12">
        <f t="shared" si="18"/>
        <v>600.74600000000009</v>
      </c>
      <c r="I27" s="12">
        <f t="shared" si="18"/>
        <v>600.74600000000009</v>
      </c>
      <c r="J27" s="12">
        <f t="shared" si="18"/>
        <v>600.74600000000009</v>
      </c>
      <c r="K27" s="12">
        <f t="shared" si="18"/>
        <v>600.74600000000009</v>
      </c>
      <c r="L27" s="12">
        <f t="shared" si="18"/>
        <v>600.74600000000009</v>
      </c>
      <c r="M27" s="12">
        <f t="shared" si="18"/>
        <v>600.74600000000009</v>
      </c>
      <c r="N27" s="12">
        <f t="shared" si="17"/>
        <v>7208.9520000000011</v>
      </c>
    </row>
    <row r="28" spans="1:15" ht="21" customHeight="1" thickBot="1" x14ac:dyDescent="0.3">
      <c r="A28" s="4" t="s">
        <v>3</v>
      </c>
      <c r="B28" s="12">
        <f>72122.58*2.3%</f>
        <v>1658.81934</v>
      </c>
      <c r="C28" s="12">
        <f>72122.58*2.3%</f>
        <v>1658.81934</v>
      </c>
      <c r="D28" s="12">
        <f>74198.22*2.3%</f>
        <v>1706.55906</v>
      </c>
      <c r="E28" s="12">
        <f>75090.84*2.3%</f>
        <v>1727.0893199999998</v>
      </c>
      <c r="F28" s="12">
        <f>74631.7*2.3%</f>
        <v>1716.5291</v>
      </c>
      <c r="G28" s="12">
        <f>74703.21*2.3%</f>
        <v>1718.1738300000002</v>
      </c>
      <c r="H28" s="12">
        <f>92803.33*2.3%</f>
        <v>2134.4765900000002</v>
      </c>
      <c r="I28" s="12">
        <f>85268.31*2.3%</f>
        <v>1961.1711299999999</v>
      </c>
      <c r="J28" s="12">
        <f>89062.73*2.3%</f>
        <v>2048.4427900000001</v>
      </c>
      <c r="K28" s="12">
        <f>89440.08*2.3%</f>
        <v>2057.1218399999998</v>
      </c>
      <c r="L28" s="12">
        <f>88766.82*2.3%</f>
        <v>2041.6368600000001</v>
      </c>
      <c r="M28" s="12">
        <f>75445.72*2.3%</f>
        <v>1735.2515599999999</v>
      </c>
      <c r="N28" s="12">
        <f t="shared" si="17"/>
        <v>22164.090759999999</v>
      </c>
    </row>
    <row r="29" spans="1:15" ht="23.25" customHeight="1" thickBot="1" x14ac:dyDescent="0.3">
      <c r="A29" s="4" t="s">
        <v>4</v>
      </c>
      <c r="B29" s="12">
        <f>69874.75*3%</f>
        <v>2096.2424999999998</v>
      </c>
      <c r="C29" s="12">
        <f>62803.41*3%</f>
        <v>1884.1023</v>
      </c>
      <c r="D29" s="12">
        <f>76172.83*3%</f>
        <v>2285.1848999999997</v>
      </c>
      <c r="E29" s="12">
        <f>111993.44*3%</f>
        <v>3359.8031999999998</v>
      </c>
      <c r="F29" s="12">
        <f>67662.41*3%</f>
        <v>2029.8723</v>
      </c>
      <c r="G29" s="12">
        <f>71733.69*3%</f>
        <v>2152.0106999999998</v>
      </c>
      <c r="H29" s="12">
        <f>94168.2*3%</f>
        <v>2825.0459999999998</v>
      </c>
      <c r="I29" s="12">
        <f>85865.55*3%</f>
        <v>2575.9665</v>
      </c>
      <c r="J29" s="12">
        <f>80191.33*3%</f>
        <v>2405.7399</v>
      </c>
      <c r="K29" s="12">
        <f>79619.81*3%</f>
        <v>2388.5942999999997</v>
      </c>
      <c r="L29" s="12">
        <f>85752.63*3%</f>
        <v>2572.5789</v>
      </c>
      <c r="M29" s="12">
        <f>82515.17*3%</f>
        <v>2475.4550999999997</v>
      </c>
      <c r="N29" s="12">
        <f t="shared" si="17"/>
        <v>29050.596599999997</v>
      </c>
    </row>
    <row r="30" spans="1:15" ht="23.25" customHeight="1" thickBot="1" x14ac:dyDescent="0.3">
      <c r="A30" s="4" t="s">
        <v>9</v>
      </c>
      <c r="B30" s="22">
        <f t="shared" ref="B30:M30" si="19">3533.8*9.7</f>
        <v>34277.86</v>
      </c>
      <c r="C30" s="22">
        <f t="shared" si="19"/>
        <v>34277.86</v>
      </c>
      <c r="D30" s="22">
        <f t="shared" si="19"/>
        <v>34277.86</v>
      </c>
      <c r="E30" s="22">
        <f t="shared" si="19"/>
        <v>34277.86</v>
      </c>
      <c r="F30" s="22">
        <f t="shared" si="19"/>
        <v>34277.86</v>
      </c>
      <c r="G30" s="22">
        <f t="shared" si="19"/>
        <v>34277.86</v>
      </c>
      <c r="H30" s="22">
        <f t="shared" si="19"/>
        <v>34277.86</v>
      </c>
      <c r="I30" s="22">
        <f t="shared" si="19"/>
        <v>34277.86</v>
      </c>
      <c r="J30" s="22">
        <f t="shared" si="19"/>
        <v>34277.86</v>
      </c>
      <c r="K30" s="22">
        <f t="shared" si="19"/>
        <v>34277.86</v>
      </c>
      <c r="L30" s="22">
        <f t="shared" si="19"/>
        <v>34277.86</v>
      </c>
      <c r="M30" s="22">
        <f t="shared" si="19"/>
        <v>34277.86</v>
      </c>
      <c r="N30" s="12">
        <f t="shared" si="17"/>
        <v>411334.31999999989</v>
      </c>
    </row>
    <row r="31" spans="1:15" ht="26.25" customHeight="1" thickBot="1" x14ac:dyDescent="0.3">
      <c r="A31" s="4" t="s">
        <v>20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f>486.86+0</f>
        <v>486.86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f t="shared" si="17"/>
        <v>486.86</v>
      </c>
    </row>
    <row r="32" spans="1:15" ht="26.25" customHeight="1" thickBot="1" x14ac:dyDescent="0.3">
      <c r="A32" s="4" t="s">
        <v>21</v>
      </c>
      <c r="B32" s="12">
        <v>351.08</v>
      </c>
      <c r="C32" s="12">
        <v>351.08</v>
      </c>
      <c r="D32" s="12">
        <v>351.08</v>
      </c>
      <c r="E32" s="12">
        <v>351.08</v>
      </c>
      <c r="F32" s="12">
        <v>351.08</v>
      </c>
      <c r="G32" s="12">
        <v>351.08</v>
      </c>
      <c r="H32" s="12">
        <v>351.08</v>
      </c>
      <c r="I32" s="12">
        <v>351.08</v>
      </c>
      <c r="J32" s="12">
        <v>351.08</v>
      </c>
      <c r="K32" s="12">
        <v>351.08</v>
      </c>
      <c r="L32" s="12">
        <v>351.08</v>
      </c>
      <c r="M32" s="12">
        <v>351.08</v>
      </c>
      <c r="N32" s="12">
        <f t="shared" si="17"/>
        <v>4212.96</v>
      </c>
    </row>
    <row r="33" spans="1:14" ht="26.25" customHeight="1" thickBot="1" x14ac:dyDescent="0.3">
      <c r="A33" s="4" t="s">
        <v>22</v>
      </c>
      <c r="B33" s="12">
        <v>0</v>
      </c>
      <c r="C33" s="12">
        <v>2075.6999999999998</v>
      </c>
      <c r="D33" s="12">
        <v>2968.2</v>
      </c>
      <c r="E33" s="12">
        <v>2509.1999999999998</v>
      </c>
      <c r="F33" s="12">
        <v>2580.6</v>
      </c>
      <c r="G33" s="12">
        <v>7048.2</v>
      </c>
      <c r="H33" s="12">
        <v>0</v>
      </c>
      <c r="I33" s="12">
        <v>3794.4</v>
      </c>
      <c r="J33" s="12">
        <v>4171.8</v>
      </c>
      <c r="K33" s="12">
        <v>3498.6</v>
      </c>
      <c r="L33" s="12">
        <v>2743.8</v>
      </c>
      <c r="M33" s="12">
        <v>3860.7</v>
      </c>
      <c r="N33" s="12">
        <f t="shared" si="17"/>
        <v>35251.199999999997</v>
      </c>
    </row>
    <row r="34" spans="1:14" ht="26.25" customHeight="1" thickBot="1" x14ac:dyDescent="0.3">
      <c r="A34" s="4" t="s">
        <v>26</v>
      </c>
      <c r="B34" s="12">
        <v>451.63</v>
      </c>
      <c r="C34" s="12">
        <v>451.63</v>
      </c>
      <c r="D34" s="12">
        <v>451.63</v>
      </c>
      <c r="E34" s="12">
        <v>451.63</v>
      </c>
      <c r="F34" s="12">
        <v>451.63</v>
      </c>
      <c r="G34" s="12">
        <v>451.63</v>
      </c>
      <c r="H34" s="12">
        <v>451.63</v>
      </c>
      <c r="I34" s="12">
        <v>451.63</v>
      </c>
      <c r="J34" s="12">
        <v>451.63</v>
      </c>
      <c r="K34" s="12">
        <v>451.63</v>
      </c>
      <c r="L34" s="12">
        <v>451.63</v>
      </c>
      <c r="M34" s="12">
        <v>451.63</v>
      </c>
      <c r="N34" s="12">
        <f t="shared" si="17"/>
        <v>5419.56</v>
      </c>
    </row>
    <row r="35" spans="1:14" ht="22.5" customHeight="1" thickBot="1" x14ac:dyDescent="0.3">
      <c r="A35" s="4" t="s">
        <v>6</v>
      </c>
      <c r="B35" s="22">
        <f t="shared" ref="B35:G35" si="20">3533.8*2.79</f>
        <v>9859.3020000000015</v>
      </c>
      <c r="C35" s="22">
        <f t="shared" si="20"/>
        <v>9859.3020000000015</v>
      </c>
      <c r="D35" s="22">
        <f t="shared" si="20"/>
        <v>9859.3020000000015</v>
      </c>
      <c r="E35" s="22">
        <f t="shared" si="20"/>
        <v>9859.3020000000015</v>
      </c>
      <c r="F35" s="22">
        <f t="shared" si="20"/>
        <v>9859.3020000000015</v>
      </c>
      <c r="G35" s="22">
        <f t="shared" si="20"/>
        <v>9859.3020000000015</v>
      </c>
      <c r="H35" s="22">
        <f>3533.8*3.35</f>
        <v>11838.230000000001</v>
      </c>
      <c r="I35" s="22">
        <f t="shared" ref="I35:M35" si="21">3533.8*3.35</f>
        <v>11838.230000000001</v>
      </c>
      <c r="J35" s="22">
        <f t="shared" si="21"/>
        <v>11838.230000000001</v>
      </c>
      <c r="K35" s="22">
        <f t="shared" si="21"/>
        <v>11838.230000000001</v>
      </c>
      <c r="L35" s="22">
        <f t="shared" si="21"/>
        <v>11838.230000000001</v>
      </c>
      <c r="M35" s="22">
        <f t="shared" si="21"/>
        <v>11838.230000000001</v>
      </c>
      <c r="N35" s="12">
        <f t="shared" si="17"/>
        <v>130185.192</v>
      </c>
    </row>
    <row r="36" spans="1:14" ht="21.75" customHeight="1" thickBot="1" x14ac:dyDescent="0.3">
      <c r="A36" s="4" t="s">
        <v>43</v>
      </c>
      <c r="B36" s="12">
        <v>3860</v>
      </c>
      <c r="C36" s="12">
        <v>3240</v>
      </c>
      <c r="D36" s="12">
        <v>4340</v>
      </c>
      <c r="E36" s="12">
        <v>3505</v>
      </c>
      <c r="F36" s="12">
        <v>6330</v>
      </c>
      <c r="G36" s="12">
        <v>4145</v>
      </c>
      <c r="H36" s="12">
        <v>4710</v>
      </c>
      <c r="I36" s="12">
        <v>3650</v>
      </c>
      <c r="J36" s="12">
        <v>3755</v>
      </c>
      <c r="K36" s="12">
        <v>3385</v>
      </c>
      <c r="L36" s="12">
        <v>0</v>
      </c>
      <c r="M36" s="12">
        <v>0</v>
      </c>
      <c r="N36" s="12">
        <f t="shared" si="17"/>
        <v>40920</v>
      </c>
    </row>
    <row r="37" spans="1:14" ht="24.75" customHeight="1" thickBot="1" x14ac:dyDescent="0.3">
      <c r="A37" s="4" t="s">
        <v>25</v>
      </c>
      <c r="B37" s="12">
        <v>900</v>
      </c>
      <c r="C37" s="12">
        <v>900</v>
      </c>
      <c r="D37" s="12">
        <v>900</v>
      </c>
      <c r="E37" s="12">
        <v>900</v>
      </c>
      <c r="F37" s="12">
        <v>900</v>
      </c>
      <c r="G37" s="12">
        <v>900</v>
      </c>
      <c r="H37" s="12">
        <v>900</v>
      </c>
      <c r="I37" s="12">
        <v>900</v>
      </c>
      <c r="J37" s="12">
        <v>900</v>
      </c>
      <c r="K37" s="12">
        <v>900</v>
      </c>
      <c r="L37" s="12">
        <v>900</v>
      </c>
      <c r="M37" s="12">
        <v>900</v>
      </c>
      <c r="N37" s="12">
        <f t="shared" si="17"/>
        <v>10800</v>
      </c>
    </row>
    <row r="38" spans="1:14" ht="24.75" customHeight="1" thickBot="1" x14ac:dyDescent="0.3">
      <c r="A38" s="4" t="s">
        <v>14</v>
      </c>
      <c r="B38" s="12">
        <v>0</v>
      </c>
      <c r="C38" s="12">
        <v>0</v>
      </c>
      <c r="D38" s="12">
        <v>0</v>
      </c>
      <c r="E38" s="12">
        <v>0</v>
      </c>
      <c r="F38" s="12">
        <v>15256.08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f t="shared" si="17"/>
        <v>15256.08</v>
      </c>
    </row>
    <row r="39" spans="1:14" ht="24" customHeight="1" thickBot="1" x14ac:dyDescent="0.3">
      <c r="A39" s="4" t="s">
        <v>10</v>
      </c>
      <c r="B39" s="12">
        <f>891.2+525+2216.8</f>
        <v>3633</v>
      </c>
      <c r="C39" s="12">
        <f>956.3+23787.8</f>
        <v>24744.1</v>
      </c>
      <c r="D39" s="12">
        <f>2181.7</f>
        <v>2181.6999999999998</v>
      </c>
      <c r="E39" s="12">
        <f>6846.6+691+1412.8</f>
        <v>8950.4</v>
      </c>
      <c r="F39" s="12">
        <f>91967+91967+4407.9</f>
        <v>188341.9</v>
      </c>
      <c r="G39" s="12">
        <v>0</v>
      </c>
      <c r="H39" s="12">
        <f>1100.6</f>
        <v>1100.5999999999999</v>
      </c>
      <c r="I39" s="12">
        <f>17840.8</f>
        <v>17840.8</v>
      </c>
      <c r="J39" s="12">
        <f>1321.1</f>
        <v>1321.1</v>
      </c>
      <c r="K39" s="12">
        <f>2075.5+315</f>
        <v>2390.5</v>
      </c>
      <c r="L39" s="12">
        <v>0</v>
      </c>
      <c r="M39" s="12">
        <f>105</f>
        <v>105</v>
      </c>
      <c r="N39" s="12">
        <f t="shared" si="17"/>
        <v>250609.09999999998</v>
      </c>
    </row>
    <row r="40" spans="1:14" ht="22.5" customHeight="1" thickBot="1" x14ac:dyDescent="0.3">
      <c r="A40" s="8" t="s">
        <v>23</v>
      </c>
      <c r="B40" s="11">
        <f t="shared" ref="B40:M40" si="22">SUM(B26:B39)</f>
        <v>59808.959840000003</v>
      </c>
      <c r="C40" s="11">
        <f t="shared" si="22"/>
        <v>82163.61963999999</v>
      </c>
      <c r="D40" s="11">
        <f t="shared" si="22"/>
        <v>62042.541959999995</v>
      </c>
      <c r="E40" s="11">
        <f t="shared" si="22"/>
        <v>68612.390520000001</v>
      </c>
      <c r="F40" s="11">
        <f t="shared" si="22"/>
        <v>264815.87939999998</v>
      </c>
      <c r="G40" s="11">
        <f t="shared" si="22"/>
        <v>64111.142529999997</v>
      </c>
      <c r="H40" s="11">
        <f t="shared" si="22"/>
        <v>61309.94859</v>
      </c>
      <c r="I40" s="11">
        <f t="shared" si="22"/>
        <v>80362.16363000001</v>
      </c>
      <c r="J40" s="11">
        <f t="shared" si="22"/>
        <v>64241.908690000004</v>
      </c>
      <c r="K40" s="11">
        <f t="shared" si="22"/>
        <v>64259.642140000004</v>
      </c>
      <c r="L40" s="11">
        <f t="shared" si="22"/>
        <v>57897.84176000001</v>
      </c>
      <c r="M40" s="11">
        <f t="shared" si="22"/>
        <v>58716.232660000001</v>
      </c>
      <c r="N40" s="11">
        <f>SUM(B40:M40)</f>
        <v>988342.2713599999</v>
      </c>
    </row>
    <row r="41" spans="1:14" ht="23.25" customHeight="1" thickBot="1" x14ac:dyDescent="0.3">
      <c r="A41" s="4" t="s">
        <v>5</v>
      </c>
      <c r="B41" s="17">
        <f t="shared" ref="B41:N41" si="23">B16-B40</f>
        <v>10465.790159999997</v>
      </c>
      <c r="C41" s="17">
        <f t="shared" si="23"/>
        <v>-16760.209639999994</v>
      </c>
      <c r="D41" s="17">
        <f t="shared" si="23"/>
        <v>16730.288040000007</v>
      </c>
      <c r="E41" s="17">
        <f t="shared" si="23"/>
        <v>46181.049480000001</v>
      </c>
      <c r="F41" s="17">
        <f t="shared" si="23"/>
        <v>-196473.46939999997</v>
      </c>
      <c r="G41" s="17">
        <f t="shared" si="23"/>
        <v>8622.547470000005</v>
      </c>
      <c r="H41" s="17">
        <f t="shared" si="23"/>
        <v>33258.251410000012</v>
      </c>
      <c r="I41" s="17">
        <f t="shared" si="23"/>
        <v>5903.3863700000074</v>
      </c>
      <c r="J41" s="17">
        <f t="shared" si="23"/>
        <v>16349.421309999983</v>
      </c>
      <c r="K41" s="17">
        <f t="shared" si="23"/>
        <v>15760.167859999994</v>
      </c>
      <c r="L41" s="17">
        <f t="shared" si="23"/>
        <v>28254.788239999994</v>
      </c>
      <c r="M41" s="17">
        <f t="shared" si="23"/>
        <v>24198.937339999997</v>
      </c>
      <c r="N41" s="12">
        <f t="shared" si="23"/>
        <v>-7509.0513599999249</v>
      </c>
    </row>
    <row r="42" spans="1:14" ht="23.25" customHeight="1" thickBot="1" x14ac:dyDescent="0.3">
      <c r="A42" s="4" t="s">
        <v>7</v>
      </c>
      <c r="B42" s="14">
        <f>B5+B41</f>
        <v>-449199.08984000003</v>
      </c>
      <c r="C42" s="18">
        <f>B42+C41</f>
        <v>-465959.29948000005</v>
      </c>
      <c r="D42" s="18">
        <f>C42+D41</f>
        <v>-449229.01144000003</v>
      </c>
      <c r="E42" s="18">
        <f t="shared" ref="E42:G42" si="24">D42+E41</f>
        <v>-403047.96196000004</v>
      </c>
      <c r="F42" s="18">
        <f t="shared" si="24"/>
        <v>-599521.43136000005</v>
      </c>
      <c r="G42" s="18">
        <f t="shared" si="24"/>
        <v>-590898.88389000006</v>
      </c>
      <c r="H42" s="18">
        <f t="shared" ref="H42" si="25">G42+H41</f>
        <v>-557640.63248000003</v>
      </c>
      <c r="I42" s="18">
        <f t="shared" ref="I42" si="26">H42+I41</f>
        <v>-551737.24611000007</v>
      </c>
      <c r="J42" s="18">
        <f t="shared" ref="J42" si="27">I42+J41</f>
        <v>-535387.82480000006</v>
      </c>
      <c r="K42" s="18">
        <f t="shared" ref="K42" si="28">J42+K41</f>
        <v>-519627.65694000007</v>
      </c>
      <c r="L42" s="18">
        <f t="shared" ref="L42" si="29">K42+L41</f>
        <v>-491372.86870000011</v>
      </c>
      <c r="M42" s="18">
        <f t="shared" ref="M42" si="30">L42+M41</f>
        <v>-467173.9313600001</v>
      </c>
      <c r="N42" s="18">
        <f>N5-N40+N16</f>
        <v>-467173.93136000005</v>
      </c>
    </row>
    <row r="43" spans="1:14" ht="27" customHeight="1" thickBot="1" x14ac:dyDescent="0.3">
      <c r="A43" s="10" t="s">
        <v>11</v>
      </c>
      <c r="B43" s="19">
        <f t="shared" ref="B43:N43" si="31">B6+B16-B7</f>
        <v>-157394.47999999998</v>
      </c>
      <c r="C43" s="19">
        <f t="shared" si="31"/>
        <v>-164713.64999999997</v>
      </c>
      <c r="D43" s="19">
        <f t="shared" si="31"/>
        <v>-160739.03999999998</v>
      </c>
      <c r="E43" s="19">
        <f t="shared" si="31"/>
        <v>-121636.43999999997</v>
      </c>
      <c r="F43" s="19">
        <f t="shared" si="31"/>
        <v>-128525.72999999997</v>
      </c>
      <c r="G43" s="19">
        <f t="shared" si="31"/>
        <v>-131095.24999999997</v>
      </c>
      <c r="H43" s="19">
        <f t="shared" si="31"/>
        <v>-129930.37999999998</v>
      </c>
      <c r="I43" s="19">
        <f t="shared" si="31"/>
        <v>-129533.13999999997</v>
      </c>
      <c r="J43" s="19">
        <f t="shared" si="31"/>
        <v>-138604.53999999998</v>
      </c>
      <c r="K43" s="19">
        <f t="shared" si="31"/>
        <v>-148624.81</v>
      </c>
      <c r="L43" s="19">
        <f t="shared" si="31"/>
        <v>-151839</v>
      </c>
      <c r="M43" s="19">
        <f t="shared" si="31"/>
        <v>-144969.55000000002</v>
      </c>
      <c r="N43" s="19">
        <f t="shared" si="31"/>
        <v>-144969.55000000016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2024-03-01T02:56:11Z</cp:lastPrinted>
  <dcterms:created xsi:type="dcterms:W3CDTF">2011-06-06T03:25:48Z</dcterms:created>
  <dcterms:modified xsi:type="dcterms:W3CDTF">2024-03-01T03:02:41Z</dcterms:modified>
</cp:coreProperties>
</file>