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41" i="1" l="1"/>
  <c r="M24" i="1" l="1"/>
  <c r="M22" i="1"/>
  <c r="M21" i="1"/>
  <c r="M23" i="1"/>
  <c r="M14" i="1"/>
  <c r="M12" i="1"/>
  <c r="M11" i="1"/>
  <c r="M13" i="1"/>
  <c r="L24" i="1"/>
  <c r="L22" i="1"/>
  <c r="L21" i="1"/>
  <c r="L23" i="1"/>
  <c r="L14" i="1"/>
  <c r="L12" i="1"/>
  <c r="L11" i="1"/>
  <c r="L13" i="1"/>
  <c r="K24" i="1"/>
  <c r="K22" i="1"/>
  <c r="K21" i="1"/>
  <c r="K23" i="1"/>
  <c r="K14" i="1"/>
  <c r="K12" i="1"/>
  <c r="K11" i="1"/>
  <c r="K13" i="1"/>
  <c r="L41" i="1" l="1"/>
  <c r="M33" i="1" l="1"/>
  <c r="L33" i="1"/>
  <c r="K41" i="1" l="1"/>
  <c r="M31" i="1" l="1"/>
  <c r="M18" i="1"/>
  <c r="M30" i="1"/>
  <c r="M8" i="1"/>
  <c r="L31" i="1" l="1"/>
  <c r="N24" i="1"/>
  <c r="L18" i="1"/>
  <c r="L30" i="1"/>
  <c r="L8" i="1"/>
  <c r="K31" i="1" l="1"/>
  <c r="K18" i="1"/>
  <c r="K30" i="1"/>
  <c r="K8" i="1"/>
  <c r="K37" i="1" l="1"/>
  <c r="L37" i="1"/>
  <c r="M37" i="1"/>
  <c r="K32" i="1"/>
  <c r="L32" i="1"/>
  <c r="M32" i="1"/>
  <c r="K29" i="1"/>
  <c r="L29" i="1"/>
  <c r="M29" i="1"/>
  <c r="K28" i="1"/>
  <c r="L28" i="1"/>
  <c r="M28" i="1"/>
  <c r="N14" i="1" l="1"/>
  <c r="J41" i="1" l="1"/>
  <c r="J24" i="1" l="1"/>
  <c r="J22" i="1"/>
  <c r="J21" i="1"/>
  <c r="J23" i="1"/>
  <c r="J14" i="1"/>
  <c r="J12" i="1"/>
  <c r="J11" i="1"/>
  <c r="J13" i="1"/>
  <c r="I24" i="1"/>
  <c r="I20" i="1"/>
  <c r="I22" i="1"/>
  <c r="I21" i="1"/>
  <c r="I23" i="1"/>
  <c r="I14" i="1"/>
  <c r="I12" i="1"/>
  <c r="I11" i="1"/>
  <c r="I13" i="1"/>
  <c r="I19" i="1"/>
  <c r="G24" i="1"/>
  <c r="F24" i="1"/>
  <c r="E24" i="1"/>
  <c r="D24" i="1"/>
  <c r="C24" i="1"/>
  <c r="H14" i="1"/>
  <c r="G14" i="1"/>
  <c r="F14" i="1"/>
  <c r="E14" i="1"/>
  <c r="D14" i="1"/>
  <c r="C14" i="1"/>
  <c r="B14" i="1"/>
  <c r="H10" i="1"/>
  <c r="H12" i="1"/>
  <c r="H11" i="1"/>
  <c r="H13" i="1"/>
  <c r="I37" i="1" l="1"/>
  <c r="J37" i="1"/>
  <c r="H37" i="1"/>
  <c r="J31" i="1" l="1"/>
  <c r="J18" i="1"/>
  <c r="J30" i="1"/>
  <c r="J8" i="1"/>
  <c r="G41" i="1" l="1"/>
  <c r="I31" i="1" l="1"/>
  <c r="I18" i="1"/>
  <c r="I30" i="1"/>
  <c r="I8" i="1"/>
  <c r="H31" i="1" l="1"/>
  <c r="H18" i="1"/>
  <c r="H30" i="1"/>
  <c r="H8" i="1"/>
  <c r="H32" i="1" l="1"/>
  <c r="I32" i="1"/>
  <c r="J32" i="1"/>
  <c r="H29" i="1"/>
  <c r="I29" i="1"/>
  <c r="J29" i="1"/>
  <c r="H28" i="1"/>
  <c r="I28" i="1"/>
  <c r="J28" i="1"/>
  <c r="G20" i="1" l="1"/>
  <c r="G21" i="1"/>
  <c r="G23" i="1"/>
  <c r="G12" i="1"/>
  <c r="G11" i="1"/>
  <c r="G13" i="1"/>
  <c r="F22" i="1"/>
  <c r="F21" i="1"/>
  <c r="F23" i="1"/>
  <c r="F10" i="1"/>
  <c r="F11" i="1"/>
  <c r="F13" i="1"/>
  <c r="E22" i="1"/>
  <c r="E21" i="1"/>
  <c r="E23" i="1"/>
  <c r="E12" i="1"/>
  <c r="E11" i="1"/>
  <c r="E13" i="1"/>
  <c r="F41" i="1" l="1"/>
  <c r="G33" i="1" l="1"/>
  <c r="E33" i="1"/>
  <c r="E41" i="1" l="1"/>
  <c r="G31" i="1" l="1"/>
  <c r="G18" i="1"/>
  <c r="G30" i="1"/>
  <c r="G8" i="1"/>
  <c r="F31" i="1" l="1"/>
  <c r="F18" i="1"/>
  <c r="F30" i="1"/>
  <c r="F8" i="1"/>
  <c r="E31" i="1" l="1"/>
  <c r="E18" i="1"/>
  <c r="E30" i="1"/>
  <c r="E8" i="1"/>
  <c r="E37" i="1" l="1"/>
  <c r="F37" i="1"/>
  <c r="G37" i="1"/>
  <c r="E32" i="1"/>
  <c r="F32" i="1"/>
  <c r="G32" i="1"/>
  <c r="E29" i="1"/>
  <c r="F29" i="1"/>
  <c r="G29" i="1"/>
  <c r="E28" i="1"/>
  <c r="F28" i="1"/>
  <c r="G28" i="1"/>
  <c r="D22" i="1" l="1"/>
  <c r="D21" i="1"/>
  <c r="D23" i="1"/>
  <c r="D12" i="1"/>
  <c r="D11" i="1"/>
  <c r="D13" i="1"/>
  <c r="C22" i="1"/>
  <c r="C21" i="1"/>
  <c r="C23" i="1"/>
  <c r="C12" i="1"/>
  <c r="C11" i="1"/>
  <c r="C13" i="1"/>
  <c r="B12" i="1"/>
  <c r="B11" i="1"/>
  <c r="B13" i="1"/>
  <c r="D41" i="1" l="1"/>
  <c r="D31" i="1" l="1"/>
  <c r="D18" i="1"/>
  <c r="D30" i="1"/>
  <c r="D8" i="1"/>
  <c r="C41" i="1" l="1"/>
  <c r="C31" i="1" l="1"/>
  <c r="C18" i="1"/>
  <c r="C30" i="1"/>
  <c r="C8" i="1"/>
  <c r="B41" i="1" l="1"/>
  <c r="B31" i="1" l="1"/>
  <c r="B18" i="1"/>
  <c r="B30" i="1"/>
  <c r="B8" i="1"/>
  <c r="C37" i="1" l="1"/>
  <c r="D37" i="1"/>
  <c r="C32" i="1"/>
  <c r="D32" i="1"/>
  <c r="C29" i="1"/>
  <c r="D29" i="1"/>
  <c r="C28" i="1"/>
  <c r="D28" i="1"/>
  <c r="B37" i="1"/>
  <c r="B32" i="1"/>
  <c r="B29" i="1"/>
  <c r="B28" i="1"/>
  <c r="N19" i="1" l="1"/>
  <c r="N9" i="1"/>
  <c r="N8" i="1" l="1"/>
  <c r="N10" i="1"/>
  <c r="N11" i="1"/>
  <c r="N12" i="1"/>
  <c r="N13" i="1"/>
  <c r="N15" i="1"/>
  <c r="N16" i="1"/>
  <c r="N32" i="1" l="1"/>
  <c r="N25" i="1"/>
  <c r="N18" i="1" l="1"/>
  <c r="N6" i="1" l="1"/>
  <c r="N5" i="1"/>
  <c r="N26" i="1" l="1"/>
  <c r="N28" i="1"/>
  <c r="N29" i="1"/>
  <c r="N33" i="1"/>
  <c r="N34" i="1"/>
  <c r="N35" i="1"/>
  <c r="N36" i="1"/>
  <c r="N37" i="1"/>
  <c r="N38" i="1"/>
  <c r="N39" i="1"/>
  <c r="N40" i="1"/>
  <c r="N41" i="1"/>
  <c r="N20" i="1"/>
  <c r="N21" i="1"/>
  <c r="N22" i="1"/>
  <c r="N23" i="1"/>
  <c r="K17" i="1"/>
  <c r="L17" i="1"/>
  <c r="M17" i="1"/>
  <c r="K7" i="1"/>
  <c r="L7" i="1"/>
  <c r="M7" i="1"/>
  <c r="M42" i="1" l="1"/>
  <c r="M43" i="1" s="1"/>
  <c r="L42" i="1"/>
  <c r="L43" i="1" s="1"/>
  <c r="N31" i="1"/>
  <c r="K42" i="1" l="1"/>
  <c r="K43" i="1" l="1"/>
  <c r="H17" i="1" l="1"/>
  <c r="I17" i="1"/>
  <c r="J17" i="1"/>
  <c r="H7" i="1"/>
  <c r="J7" i="1"/>
  <c r="J42" i="1" l="1"/>
  <c r="J43" i="1" s="1"/>
  <c r="I42" i="1"/>
  <c r="I43" i="1" s="1"/>
  <c r="I7" i="1"/>
  <c r="C17" i="1"/>
  <c r="D17" i="1"/>
  <c r="D42" i="1" s="1"/>
  <c r="D43" i="1" s="1"/>
  <c r="E17" i="1"/>
  <c r="F17" i="1"/>
  <c r="G17" i="1"/>
  <c r="B17" i="1"/>
  <c r="F42" i="1" l="1"/>
  <c r="F43" i="1" s="1"/>
  <c r="E42" i="1"/>
  <c r="G42" i="1"/>
  <c r="G43" i="1" s="1"/>
  <c r="N17" i="1"/>
  <c r="H42" i="1"/>
  <c r="H43" i="1" l="1"/>
  <c r="F7" i="1"/>
  <c r="G7" i="1"/>
  <c r="D7" i="1"/>
  <c r="C42" i="1"/>
  <c r="C7" i="1"/>
  <c r="B7" i="1"/>
  <c r="E7" i="1" l="1"/>
  <c r="N7" i="1" s="1"/>
  <c r="N45" i="1" s="1"/>
  <c r="C43" i="1"/>
  <c r="B42" i="1" l="1"/>
  <c r="N30" i="1"/>
  <c r="B45" i="1"/>
  <c r="C6" i="1" s="1"/>
  <c r="C45" i="1" l="1"/>
  <c r="D6" i="1" s="1"/>
  <c r="E43" i="1"/>
  <c r="N42" i="1" s="1"/>
  <c r="B43" i="1"/>
  <c r="D45" i="1" l="1"/>
  <c r="E6" i="1" s="1"/>
  <c r="E45" i="1" s="1"/>
  <c r="F6" i="1" s="1"/>
  <c r="N43" i="1"/>
  <c r="N44" i="1" s="1"/>
  <c r="B44" i="1"/>
  <c r="F45" i="1" l="1"/>
  <c r="G6" i="1" s="1"/>
  <c r="G45" i="1" s="1"/>
  <c r="H6" i="1" s="1"/>
  <c r="C5" i="1"/>
  <c r="C44" i="1" s="1"/>
  <c r="H45" i="1" l="1"/>
  <c r="I6" i="1" s="1"/>
  <c r="D5" i="1"/>
  <c r="D44" i="1" s="1"/>
  <c r="I45" i="1" l="1"/>
  <c r="J6" i="1" s="1"/>
  <c r="E5" i="1"/>
  <c r="E44" i="1" s="1"/>
  <c r="J45" i="1" l="1"/>
  <c r="K6" i="1" s="1"/>
  <c r="F5" i="1"/>
  <c r="F44" i="1" s="1"/>
  <c r="K45" i="1" l="1"/>
  <c r="L6" i="1" s="1"/>
  <c r="G5" i="1"/>
  <c r="G44" i="1" s="1"/>
  <c r="L45" i="1" l="1"/>
  <c r="M6" i="1" s="1"/>
  <c r="M45" i="1" s="1"/>
  <c r="H5" i="1"/>
  <c r="H44" i="1" s="1"/>
  <c r="I5" i="1" l="1"/>
  <c r="I44" i="1" s="1"/>
  <c r="J5" i="1" l="1"/>
  <c r="J44" i="1" s="1"/>
  <c r="K5" i="1" l="1"/>
  <c r="K44" i="1" s="1"/>
  <c r="L5" i="1" l="1"/>
  <c r="L44" i="1" s="1"/>
  <c r="M5" i="1" l="1"/>
  <c r="M44" i="1" s="1"/>
</calcChain>
</file>

<file path=xl/sharedStrings.xml><?xml version="1.0" encoding="utf-8"?>
<sst xmlns="http://schemas.openxmlformats.org/spreadsheetml/2006/main" count="58" uniqueCount="47">
  <si>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</si>
  <si>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</si>
  <si>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</si>
  <si>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</si>
  <si>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</si>
  <si>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</si>
  <si>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</si>
  <si>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</si>
  <si>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</si>
  <si>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</si>
  <si>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</si>
  <si>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</si>
  <si>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</si>
  <si>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</si>
  <si>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</si>
  <si>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</si>
  <si>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</si>
  <si>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</si>
  <si>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</si>
  <si>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</si>
  <si>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</si>
  <si>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</si>
  <si>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</si>
  <si>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</si>
  <si>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</si>
  <si>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</si>
  <si>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на ОИ</t>
  </si>
  <si>
    <t xml:space="preserve">Содержание жилья и текущий ремонт / нежилые </t>
  </si>
  <si>
    <t>Диагностика газового оборудования</t>
  </si>
  <si>
    <t>Корректировка задолженности по оплате по решению Арбитражного суда за предыдущие периоды</t>
  </si>
  <si>
    <t xml:space="preserve">Содержание жилья и текущий ремонт,  ОПУ </t>
  </si>
  <si>
    <t>Содержание жилья и текущий ремонт,  ОПУ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</si>
  <si>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</si>
  <si>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</si>
  <si>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</si>
  <si>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</si>
  <si>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</si>
  <si>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</si>
  <si>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</si>
  <si>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</si>
  <si>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</si>
  <si>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</si>
  <si>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</si>
  <si>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</si>
  <si>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2023г.</t>
  </si>
  <si>
    <t>Возмещение расходов совета МКД</t>
  </si>
  <si>
    <t xml:space="preserve">         ОТЧЕТ по дому Васильева, 41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</si>
</sst>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164" fontId="6" fillId="2" borderId="4" xfId="0" applyNumberFormat="1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vertical="top" wrapText="1"/>
    </xf>
    <xf numFmtId="164" fontId="6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6" fillId="4" borderId="3" xfId="0" applyFont="1" applyFill="1" applyBorder="1" applyAlignment="1">
      <alignment vertical="top" wrapText="1"/>
    </xf>
    <xf numFmtId="164" fontId="6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164" fontId="6" fillId="0" borderId="5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4" fontId="6" fillId="0" borderId="9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4.109375" customWidth="1"/>
    <col min="3" max="4" width="14.44140625" customWidth="1"/>
    <col min="5" max="5" width="15" customWidth="1"/>
    <col min="6" max="6" width="14.44140625" customWidth="1"/>
    <col min="7" max="7" width="13.5546875" customWidth="1"/>
    <col min="8" max="8" width="13.44140625" customWidth="1"/>
    <col min="9" max="9" width="14" customWidth="1"/>
    <col min="10" max="13" width="13.33203125" customWidth="1"/>
    <col min="14" max="14" width="18.88671875" customWidth="1"/>
  </cols>
  <sheetData>
    <row r="1" spans="1:14" ht="20.25" customHeight="1" x14ac:dyDescent="0.4">
      <c r="A1" s="23" t="s">
        <v>46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7.5" customHeight="1" thickBot="1" x14ac:dyDescent="0.3">
      <c r="A2" s="1"/>
    </row>
    <row r="3" spans="1:14" ht="3" hidden="1" customHeight="1" thickBot="1" x14ac:dyDescent="0.3">
      <c r="A3" s="1"/>
    </row>
    <row r="4" spans="1:14" ht="38.25" customHeight="1" thickBot="1" x14ac:dyDescent="0.3">
      <c r="A4" s="4" t="s">
        <v>0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  <c r="I4" s="5" t="s">
        <v>39</v>
      </c>
      <c r="J4" s="5" t="s">
        <v>40</v>
      </c>
      <c r="K4" s="5" t="s">
        <v>41</v>
      </c>
      <c r="L4" s="5" t="s">
        <v>42</v>
      </c>
      <c r="M4" s="5" t="s">
        <v>43</v>
      </c>
      <c r="N4" s="5" t="s">
        <v>44</v>
      </c>
    </row>
    <row r="5" spans="1:14" ht="23.25" customHeight="1" thickBot="1" x14ac:dyDescent="0.3">
      <c r="A5" s="6" t="s">
        <v>16</v>
      </c>
      <c r="B5" s="7">
        <v>-756031.12</v>
      </c>
      <c r="C5" s="7">
        <f t="shared" ref="C5:D6" si="0">B44</f>
        <v>-722661.58962999994</v>
      </c>
      <c r="D5" s="7">
        <f t="shared" si="0"/>
        <v>-723377.35445999994</v>
      </c>
      <c r="E5" s="7">
        <f t="shared" ref="E5:E6" si="1">D44</f>
        <v>-708248.2803199999</v>
      </c>
      <c r="F5" s="7">
        <f>E44</f>
        <v>-723195.74988999986</v>
      </c>
      <c r="G5" s="7">
        <f t="shared" ref="G5:G6" si="2">F44</f>
        <v>-722808.37958999991</v>
      </c>
      <c r="H5" s="7">
        <f t="shared" ref="H5:H6" si="3">G44</f>
        <v>-732862.1521399999</v>
      </c>
      <c r="I5" s="7">
        <f t="shared" ref="I5:I6" si="4">H44</f>
        <v>-686391.81894999987</v>
      </c>
      <c r="J5" s="7">
        <f t="shared" ref="J5:J6" si="5">I44</f>
        <v>-669745.50724999991</v>
      </c>
      <c r="K5" s="7">
        <f t="shared" ref="K5:K6" si="6">J44</f>
        <v>-656912.75468999997</v>
      </c>
      <c r="L5" s="7">
        <f t="shared" ref="L5:L6" si="7">K44</f>
        <v>-645247.06290999998</v>
      </c>
      <c r="M5" s="7">
        <f t="shared" ref="M5:M6" si="8">L44</f>
        <v>-683882.83386000001</v>
      </c>
      <c r="N5" s="7">
        <f>B5</f>
        <v>-756031.12</v>
      </c>
    </row>
    <row r="6" spans="1:14" ht="21" customHeight="1" thickBot="1" x14ac:dyDescent="0.3">
      <c r="A6" s="6" t="s">
        <v>13</v>
      </c>
      <c r="B6" s="7">
        <v>-463878.22</v>
      </c>
      <c r="C6" s="7">
        <f t="shared" si="0"/>
        <v>-438844.85999999993</v>
      </c>
      <c r="D6" s="7">
        <f t="shared" si="0"/>
        <v>-449895.55999999994</v>
      </c>
      <c r="E6" s="7">
        <f t="shared" si="1"/>
        <v>-407996.83999999991</v>
      </c>
      <c r="F6" s="7">
        <f>E45</f>
        <v>-355854.34999999992</v>
      </c>
      <c r="G6" s="7">
        <f t="shared" si="2"/>
        <v>-365933.8899999999</v>
      </c>
      <c r="H6" s="7">
        <f t="shared" si="3"/>
        <v>-381822.5199999999</v>
      </c>
      <c r="I6" s="7">
        <f t="shared" si="4"/>
        <v>-355212.80999999994</v>
      </c>
      <c r="J6" s="7">
        <f t="shared" si="5"/>
        <v>-363901.43999999994</v>
      </c>
      <c r="K6" s="7">
        <f t="shared" si="6"/>
        <v>-373187.20999999996</v>
      </c>
      <c r="L6" s="7">
        <f t="shared" si="7"/>
        <v>-377036.85999999993</v>
      </c>
      <c r="M6" s="7">
        <f t="shared" si="8"/>
        <v>-392652.55999999994</v>
      </c>
      <c r="N6" s="7">
        <f>B6</f>
        <v>-463878.22</v>
      </c>
    </row>
    <row r="7" spans="1:14" ht="20.25" customHeight="1" thickBot="1" x14ac:dyDescent="0.3">
      <c r="A7" s="8" t="s">
        <v>12</v>
      </c>
      <c r="B7" s="9">
        <f t="shared" ref="B7:M7" si="9">SUM(B8:B16)</f>
        <v>77430.609999999986</v>
      </c>
      <c r="C7" s="9">
        <f t="shared" si="9"/>
        <v>78929.999999999985</v>
      </c>
      <c r="D7" s="9">
        <f t="shared" si="9"/>
        <v>78129.319999999992</v>
      </c>
      <c r="E7" s="9">
        <f t="shared" si="9"/>
        <v>75446.679999999993</v>
      </c>
      <c r="F7" s="9">
        <f t="shared" si="9"/>
        <v>77203.37</v>
      </c>
      <c r="G7" s="9">
        <f t="shared" si="9"/>
        <v>74538.87999999999</v>
      </c>
      <c r="H7" s="9">
        <f t="shared" si="9"/>
        <v>83861.60000000002</v>
      </c>
      <c r="I7" s="9">
        <f t="shared" si="9"/>
        <v>85530.64</v>
      </c>
      <c r="J7" s="9">
        <f t="shared" si="9"/>
        <v>84780.87000000001</v>
      </c>
      <c r="K7" s="9">
        <f t="shared" si="9"/>
        <v>86254.79</v>
      </c>
      <c r="L7" s="9">
        <f t="shared" si="9"/>
        <v>88804.73</v>
      </c>
      <c r="M7" s="9">
        <f t="shared" si="9"/>
        <v>93369.25</v>
      </c>
      <c r="N7" s="9">
        <f>SUM(B7:M7)</f>
        <v>984280.74</v>
      </c>
    </row>
    <row r="8" spans="1:14" ht="24.75" customHeight="1" thickBot="1" x14ac:dyDescent="0.3">
      <c r="A8" s="3" t="s">
        <v>30</v>
      </c>
      <c r="B8" s="10">
        <f t="shared" ref="B8:G8" si="10">65440.38+1435.36</f>
        <v>66875.739999999991</v>
      </c>
      <c r="C8" s="10">
        <f t="shared" si="10"/>
        <v>66875.739999999991</v>
      </c>
      <c r="D8" s="10">
        <f t="shared" si="10"/>
        <v>66875.739999999991</v>
      </c>
      <c r="E8" s="10">
        <f t="shared" si="10"/>
        <v>66875.739999999991</v>
      </c>
      <c r="F8" s="10">
        <f t="shared" si="10"/>
        <v>66875.739999999991</v>
      </c>
      <c r="G8" s="10">
        <f t="shared" si="10"/>
        <v>66875.739999999991</v>
      </c>
      <c r="H8" s="10">
        <f t="shared" ref="H8:M8" si="11">75573.07+1435.36</f>
        <v>77008.430000000008</v>
      </c>
      <c r="I8" s="10">
        <f t="shared" si="11"/>
        <v>77008.430000000008</v>
      </c>
      <c r="J8" s="10">
        <f t="shared" si="11"/>
        <v>77008.430000000008</v>
      </c>
      <c r="K8" s="10">
        <f t="shared" si="11"/>
        <v>77008.430000000008</v>
      </c>
      <c r="L8" s="10">
        <f t="shared" si="11"/>
        <v>77008.430000000008</v>
      </c>
      <c r="M8" s="10">
        <f t="shared" si="11"/>
        <v>77008.430000000008</v>
      </c>
      <c r="N8" s="10">
        <f>SUM(B8:M8)</f>
        <v>863305.02000000014</v>
      </c>
    </row>
    <row r="9" spans="1:14" ht="24.75" customHeight="1" thickBot="1" x14ac:dyDescent="0.3">
      <c r="A9" s="3" t="s">
        <v>27</v>
      </c>
      <c r="B9" s="10">
        <v>585.9</v>
      </c>
      <c r="C9" s="10">
        <v>585.9</v>
      </c>
      <c r="D9" s="10">
        <v>585.9</v>
      </c>
      <c r="E9" s="10">
        <v>585.9</v>
      </c>
      <c r="F9" s="10">
        <v>585.9</v>
      </c>
      <c r="G9" s="10">
        <v>585.9</v>
      </c>
      <c r="H9" s="10">
        <v>676.62</v>
      </c>
      <c r="I9" s="10">
        <v>676.62</v>
      </c>
      <c r="J9" s="10">
        <v>676.62</v>
      </c>
      <c r="K9" s="10">
        <v>676.62</v>
      </c>
      <c r="L9" s="10">
        <v>676.62</v>
      </c>
      <c r="M9" s="10">
        <v>676.62</v>
      </c>
      <c r="N9" s="10">
        <f>SUM(B9:M9)</f>
        <v>7575.12</v>
      </c>
    </row>
    <row r="10" spans="1:14" ht="24.75" customHeight="1" thickBot="1" x14ac:dyDescent="0.3">
      <c r="A10" s="3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f>4075.99+36.89</f>
        <v>4112.88</v>
      </c>
      <c r="G10" s="10">
        <v>0</v>
      </c>
      <c r="H10" s="10">
        <f>336.2+3.01</f>
        <v>339.21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f t="shared" ref="N10:N16" si="12">SUM(B10:M10)</f>
        <v>4452.09</v>
      </c>
    </row>
    <row r="11" spans="1:14" ht="24.75" customHeight="1" thickBot="1" x14ac:dyDescent="0.3">
      <c r="A11" s="3" t="s">
        <v>18</v>
      </c>
      <c r="B11" s="10">
        <f t="shared" ref="B11:G11" si="13">231.72+2.08</f>
        <v>233.8</v>
      </c>
      <c r="C11" s="10">
        <f t="shared" si="13"/>
        <v>233.8</v>
      </c>
      <c r="D11" s="10">
        <f t="shared" si="13"/>
        <v>233.8</v>
      </c>
      <c r="E11" s="10">
        <f t="shared" si="13"/>
        <v>233.8</v>
      </c>
      <c r="F11" s="10">
        <f t="shared" si="13"/>
        <v>233.8</v>
      </c>
      <c r="G11" s="10">
        <f t="shared" si="13"/>
        <v>233.8</v>
      </c>
      <c r="H11" s="10">
        <f>231.72+2.08</f>
        <v>233.8</v>
      </c>
      <c r="I11" s="10">
        <f>231.72+2.08</f>
        <v>233.8</v>
      </c>
      <c r="J11" s="10">
        <f>231.72+2.08</f>
        <v>233.8</v>
      </c>
      <c r="K11" s="10">
        <f>231.72+2.07</f>
        <v>233.79</v>
      </c>
      <c r="L11" s="10">
        <f>231.72+2.07</f>
        <v>233.79</v>
      </c>
      <c r="M11" s="10">
        <f>231.72+2.07</f>
        <v>233.79</v>
      </c>
      <c r="N11" s="10">
        <f t="shared" si="12"/>
        <v>2805.5699999999997</v>
      </c>
    </row>
    <row r="12" spans="1:14" ht="24.75" customHeight="1" thickBot="1" x14ac:dyDescent="0.3">
      <c r="A12" s="3" t="s">
        <v>19</v>
      </c>
      <c r="B12" s="10">
        <f>4301.6+38.52</f>
        <v>4340.1200000000008</v>
      </c>
      <c r="C12" s="10">
        <f>5787.7+51.81</f>
        <v>5839.51</v>
      </c>
      <c r="D12" s="10">
        <f>4994.11+44.72</f>
        <v>5038.83</v>
      </c>
      <c r="E12" s="10">
        <f>2335.28+20.91</f>
        <v>2356.19</v>
      </c>
      <c r="F12" s="10">
        <v>0</v>
      </c>
      <c r="G12" s="10">
        <f>1435.54+12.85</f>
        <v>1448.3899999999999</v>
      </c>
      <c r="H12" s="10">
        <f>4079.17+36.52</f>
        <v>4115.6900000000005</v>
      </c>
      <c r="I12" s="10">
        <f>2249.4+20.14</f>
        <v>2269.54</v>
      </c>
      <c r="J12" s="10">
        <f>1506.28+13.49</f>
        <v>1519.77</v>
      </c>
      <c r="K12" s="10">
        <f>2967.14+26.56</f>
        <v>2993.7</v>
      </c>
      <c r="L12" s="10">
        <f>5494.45+49.19</f>
        <v>5543.6399999999994</v>
      </c>
      <c r="M12" s="10">
        <f>10018.47+89.69</f>
        <v>10108.16</v>
      </c>
      <c r="N12" s="10">
        <f t="shared" si="12"/>
        <v>45573.540000000008</v>
      </c>
    </row>
    <row r="13" spans="1:14" ht="24.75" customHeight="1" thickBot="1" x14ac:dyDescent="0.3">
      <c r="A13" s="3" t="s">
        <v>26</v>
      </c>
      <c r="B13" s="10">
        <f t="shared" ref="B13:G13" si="14">447.05+4</f>
        <v>451.05</v>
      </c>
      <c r="C13" s="10">
        <f t="shared" si="14"/>
        <v>451.05</v>
      </c>
      <c r="D13" s="10">
        <f t="shared" si="14"/>
        <v>451.05</v>
      </c>
      <c r="E13" s="10">
        <f t="shared" si="14"/>
        <v>451.05</v>
      </c>
      <c r="F13" s="10">
        <f t="shared" si="14"/>
        <v>451.05</v>
      </c>
      <c r="G13" s="10">
        <f t="shared" si="14"/>
        <v>451.05</v>
      </c>
      <c r="H13" s="10">
        <f t="shared" ref="H13:M13" si="15">447.05+4</f>
        <v>451.05</v>
      </c>
      <c r="I13" s="10">
        <f t="shared" si="15"/>
        <v>451.05</v>
      </c>
      <c r="J13" s="10">
        <f t="shared" si="15"/>
        <v>451.05</v>
      </c>
      <c r="K13" s="10">
        <f t="shared" si="15"/>
        <v>451.05</v>
      </c>
      <c r="L13" s="10">
        <f t="shared" si="15"/>
        <v>451.05</v>
      </c>
      <c r="M13" s="10">
        <f t="shared" si="15"/>
        <v>451.05</v>
      </c>
      <c r="N13" s="10">
        <f t="shared" si="12"/>
        <v>5412.6000000000013</v>
      </c>
    </row>
    <row r="14" spans="1:14" ht="24.75" customHeight="1" thickBot="1" x14ac:dyDescent="0.3">
      <c r="A14" s="3" t="s">
        <v>45</v>
      </c>
      <c r="B14" s="10">
        <f t="shared" ref="B14:G14" si="16">4224+50</f>
        <v>4274</v>
      </c>
      <c r="C14" s="10">
        <f t="shared" si="16"/>
        <v>4274</v>
      </c>
      <c r="D14" s="10">
        <f t="shared" si="16"/>
        <v>4274</v>
      </c>
      <c r="E14" s="10">
        <f t="shared" si="16"/>
        <v>4274</v>
      </c>
      <c r="F14" s="10">
        <f t="shared" si="16"/>
        <v>4274</v>
      </c>
      <c r="G14" s="10">
        <f t="shared" si="16"/>
        <v>4274</v>
      </c>
      <c r="H14" s="10">
        <f>316.8+50</f>
        <v>366.8</v>
      </c>
      <c r="I14" s="10">
        <f>4171.2+50</f>
        <v>4221.2</v>
      </c>
      <c r="J14" s="10">
        <f>4171.2+50</f>
        <v>4221.2</v>
      </c>
      <c r="K14" s="10">
        <f>4171.2+50</f>
        <v>4221.2</v>
      </c>
      <c r="L14" s="10">
        <f>4171.2+50</f>
        <v>4221.2</v>
      </c>
      <c r="M14" s="10">
        <f>4171.2+50</f>
        <v>4221.2</v>
      </c>
      <c r="N14" s="10">
        <f t="shared" si="12"/>
        <v>47116.799999999988</v>
      </c>
    </row>
    <row r="15" spans="1:14" ht="24.75" hidden="1" customHeight="1" thickBot="1" x14ac:dyDescent="0.3">
      <c r="A15" s="19" t="s">
        <v>28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>
        <f t="shared" si="12"/>
        <v>0</v>
      </c>
    </row>
    <row r="16" spans="1:14" ht="24.75" customHeight="1" thickBot="1" x14ac:dyDescent="0.3">
      <c r="A16" s="3" t="s">
        <v>15</v>
      </c>
      <c r="B16" s="10">
        <v>670</v>
      </c>
      <c r="C16" s="10">
        <v>670</v>
      </c>
      <c r="D16" s="10">
        <v>670</v>
      </c>
      <c r="E16" s="10">
        <v>670</v>
      </c>
      <c r="F16" s="10">
        <v>670</v>
      </c>
      <c r="G16" s="10">
        <v>670</v>
      </c>
      <c r="H16" s="10">
        <v>670</v>
      </c>
      <c r="I16" s="10">
        <v>670</v>
      </c>
      <c r="J16" s="10">
        <v>670</v>
      </c>
      <c r="K16" s="10">
        <v>670</v>
      </c>
      <c r="L16" s="10">
        <v>670</v>
      </c>
      <c r="M16" s="10">
        <v>670</v>
      </c>
      <c r="N16" s="10">
        <f t="shared" si="12"/>
        <v>8040</v>
      </c>
    </row>
    <row r="17" spans="1:15" ht="20.25" customHeight="1" thickBot="1" x14ac:dyDescent="0.3">
      <c r="A17" s="11" t="s">
        <v>8</v>
      </c>
      <c r="B17" s="12">
        <f t="shared" ref="B17:M17" si="17">SUM(B18:B26)</f>
        <v>102463.97000000002</v>
      </c>
      <c r="C17" s="12">
        <f t="shared" si="17"/>
        <v>67879.3</v>
      </c>
      <c r="D17" s="12">
        <f t="shared" si="17"/>
        <v>120028.04000000001</v>
      </c>
      <c r="E17" s="12">
        <f t="shared" si="17"/>
        <v>127589.17</v>
      </c>
      <c r="F17" s="12">
        <f t="shared" si="17"/>
        <v>67123.83</v>
      </c>
      <c r="G17" s="12">
        <f t="shared" si="17"/>
        <v>58650.249999999993</v>
      </c>
      <c r="H17" s="12">
        <f t="shared" si="17"/>
        <v>110471.30999999998</v>
      </c>
      <c r="I17" s="12">
        <f t="shared" si="17"/>
        <v>76842.009999999995</v>
      </c>
      <c r="J17" s="12">
        <f t="shared" si="17"/>
        <v>75495.099999999977</v>
      </c>
      <c r="K17" s="12">
        <f t="shared" si="17"/>
        <v>82405.140000000014</v>
      </c>
      <c r="L17" s="12">
        <f t="shared" si="17"/>
        <v>73189.03</v>
      </c>
      <c r="M17" s="12">
        <f t="shared" si="17"/>
        <v>82284.06</v>
      </c>
      <c r="N17" s="12">
        <f>SUM(B17:M17)</f>
        <v>1044421.21</v>
      </c>
    </row>
    <row r="18" spans="1:15" ht="24" customHeight="1" thickBot="1" x14ac:dyDescent="0.3">
      <c r="A18" s="3" t="s">
        <v>31</v>
      </c>
      <c r="B18" s="10">
        <f>90006.32+48.63+8.15+1832.39+119.43</f>
        <v>92014.92</v>
      </c>
      <c r="C18" s="10">
        <f>55554.6+1384.66</f>
        <v>56939.26</v>
      </c>
      <c r="D18" s="10">
        <f>96845.41+41.15+2279.63+3.59+341.57</f>
        <v>99511.35</v>
      </c>
      <c r="E18" s="10">
        <f>103722.34+72.66+18.23+2516.68+8.38+262.69</f>
        <v>106600.98</v>
      </c>
      <c r="F18" s="10">
        <f>57447.78+1264.01</f>
        <v>58711.79</v>
      </c>
      <c r="G18" s="10">
        <f>49191.79+1146.07</f>
        <v>50337.86</v>
      </c>
      <c r="H18" s="10">
        <f>96266.19+13.09+80.3+2234.62+261</f>
        <v>98855.2</v>
      </c>
      <c r="I18" s="10">
        <f>65114.16+69.34+1390.59</f>
        <v>66574.09</v>
      </c>
      <c r="J18" s="10">
        <f>66947.18+1303.5</f>
        <v>68250.679999999993</v>
      </c>
      <c r="K18" s="10">
        <f>73553.72+1368.99</f>
        <v>74922.710000000006</v>
      </c>
      <c r="L18" s="10">
        <f>64245.99+1235.89</f>
        <v>65481.88</v>
      </c>
      <c r="M18" s="10">
        <f>70414.45+1361.28</f>
        <v>71775.73</v>
      </c>
      <c r="N18" s="10">
        <f>SUM(B18:M18)</f>
        <v>909976.44999999984</v>
      </c>
    </row>
    <row r="19" spans="1:15" ht="24" customHeight="1" thickBot="1" x14ac:dyDescent="0.3">
      <c r="A19" s="3" t="s">
        <v>27</v>
      </c>
      <c r="B19" s="10">
        <v>0</v>
      </c>
      <c r="C19" s="10">
        <v>585.9</v>
      </c>
      <c r="D19" s="10">
        <v>1171.8</v>
      </c>
      <c r="E19" s="10">
        <v>585.9</v>
      </c>
      <c r="F19" s="10">
        <v>585.9</v>
      </c>
      <c r="G19" s="10">
        <v>585.9</v>
      </c>
      <c r="H19" s="10">
        <v>0</v>
      </c>
      <c r="I19" s="10">
        <f>676.62*2</f>
        <v>1353.24</v>
      </c>
      <c r="J19" s="10">
        <v>676.62</v>
      </c>
      <c r="K19" s="10">
        <v>676.62</v>
      </c>
      <c r="L19" s="10">
        <v>676.62</v>
      </c>
      <c r="M19" s="10">
        <v>676.62</v>
      </c>
      <c r="N19" s="10">
        <f>SUM(B19:M19)</f>
        <v>7575.12</v>
      </c>
    </row>
    <row r="20" spans="1:15" ht="26.25" customHeight="1" thickBot="1" x14ac:dyDescent="0.3">
      <c r="A20" s="3" t="s">
        <v>17</v>
      </c>
      <c r="B20" s="10">
        <v>377.82</v>
      </c>
      <c r="C20" s="10">
        <v>7.55</v>
      </c>
      <c r="D20" s="10">
        <v>752.18</v>
      </c>
      <c r="E20" s="10">
        <v>806.22</v>
      </c>
      <c r="F20" s="10">
        <v>445.06</v>
      </c>
      <c r="G20" s="10">
        <f>2918.92+36.89</f>
        <v>2955.81</v>
      </c>
      <c r="H20" s="10">
        <v>952.58</v>
      </c>
      <c r="I20" s="10">
        <f>354.16+3.01</f>
        <v>357.17</v>
      </c>
      <c r="J20" s="10">
        <v>90.91</v>
      </c>
      <c r="K20" s="10">
        <v>133.12</v>
      </c>
      <c r="L20" s="10">
        <v>28.2</v>
      </c>
      <c r="M20" s="10">
        <v>8.66</v>
      </c>
      <c r="N20" s="10">
        <f t="shared" ref="N20:N25" si="18">SUM(B20:M20)</f>
        <v>6915.2799999999988</v>
      </c>
    </row>
    <row r="21" spans="1:15" ht="26.25" customHeight="1" thickBot="1" x14ac:dyDescent="0.3">
      <c r="A21" s="3" t="s">
        <v>18</v>
      </c>
      <c r="B21" s="10">
        <v>116.1</v>
      </c>
      <c r="C21" s="10">
        <f>2.88+2.08</f>
        <v>4.96</v>
      </c>
      <c r="D21" s="10">
        <f>191.62+4.16</f>
        <v>195.78</v>
      </c>
      <c r="E21" s="10">
        <f>274.62+2.08</f>
        <v>276.7</v>
      </c>
      <c r="F21" s="10">
        <f>4.43+2.08</f>
        <v>6.51</v>
      </c>
      <c r="G21" s="10">
        <f>11.11+2.08</f>
        <v>13.19</v>
      </c>
      <c r="H21" s="10">
        <v>195.9</v>
      </c>
      <c r="I21" s="10">
        <f>19.6+4.16</f>
        <v>23.76</v>
      </c>
      <c r="J21" s="10">
        <f>168.46+2.08</f>
        <v>170.54000000000002</v>
      </c>
      <c r="K21" s="10">
        <f>214.79+2.07</f>
        <v>216.85999999999999</v>
      </c>
      <c r="L21" s="10">
        <f>197.42+2.07</f>
        <v>199.48999999999998</v>
      </c>
      <c r="M21" s="10">
        <f>214.38+2.07</f>
        <v>216.45</v>
      </c>
      <c r="N21" s="10">
        <f t="shared" si="18"/>
        <v>1636.24</v>
      </c>
    </row>
    <row r="22" spans="1:15" ht="26.25" customHeight="1" thickBot="1" x14ac:dyDescent="0.3">
      <c r="A22" s="3" t="s">
        <v>19</v>
      </c>
      <c r="B22" s="10">
        <v>3734.88</v>
      </c>
      <c r="C22" s="10">
        <f>3478.76+38.52</f>
        <v>3517.28</v>
      </c>
      <c r="D22" s="10">
        <f>6763.25+84.16</f>
        <v>6847.41</v>
      </c>
      <c r="E22" s="10">
        <f>6155.1+44.71</f>
        <v>6199.81</v>
      </c>
      <c r="F22" s="10">
        <f>2355.55+20.91</f>
        <v>2376.46</v>
      </c>
      <c r="G22" s="10">
        <v>95.34</v>
      </c>
      <c r="H22" s="10">
        <v>2703.09</v>
      </c>
      <c r="I22" s="10">
        <f>3347.97+36.52+12.85</f>
        <v>3397.3399999999997</v>
      </c>
      <c r="J22" s="10">
        <f>2024.81+20.14</f>
        <v>2044.95</v>
      </c>
      <c r="K22" s="10">
        <f>1611.14+13.49</f>
        <v>1624.63</v>
      </c>
      <c r="L22" s="10">
        <f>2454.7+26.56</f>
        <v>2481.2599999999998</v>
      </c>
      <c r="M22" s="10">
        <f>4785.13+49.19</f>
        <v>4834.32</v>
      </c>
      <c r="N22" s="10">
        <f t="shared" si="18"/>
        <v>39856.770000000004</v>
      </c>
    </row>
    <row r="23" spans="1:15" ht="26.25" customHeight="1" thickBot="1" x14ac:dyDescent="0.3">
      <c r="A23" s="3" t="s">
        <v>26</v>
      </c>
      <c r="B23" s="10">
        <v>538.52</v>
      </c>
      <c r="C23" s="10">
        <f>374.18+4</f>
        <v>378.18</v>
      </c>
      <c r="D23" s="10">
        <f>612.83+8</f>
        <v>620.83000000000004</v>
      </c>
      <c r="E23" s="10">
        <f>675.21+4</f>
        <v>679.21</v>
      </c>
      <c r="F23" s="10">
        <f>394.71+4</f>
        <v>398.71</v>
      </c>
      <c r="G23" s="10">
        <f>336.02+4</f>
        <v>340.02</v>
      </c>
      <c r="H23" s="10">
        <v>665.23</v>
      </c>
      <c r="I23" s="10">
        <f>391.71+8</f>
        <v>399.71</v>
      </c>
      <c r="J23" s="10">
        <f>402+4</f>
        <v>406</v>
      </c>
      <c r="K23" s="10">
        <f>443.6+4</f>
        <v>447.6</v>
      </c>
      <c r="L23" s="10">
        <f>382.78+4</f>
        <v>386.78</v>
      </c>
      <c r="M23" s="10">
        <f>416.68+4</f>
        <v>420.68</v>
      </c>
      <c r="N23" s="10">
        <f t="shared" si="18"/>
        <v>5681.47</v>
      </c>
    </row>
    <row r="24" spans="1:15" ht="26.25" customHeight="1" thickBot="1" x14ac:dyDescent="0.3">
      <c r="A24" s="3" t="s">
        <v>45</v>
      </c>
      <c r="B24" s="10">
        <v>5281.73</v>
      </c>
      <c r="C24" s="10">
        <f>3796.17+50</f>
        <v>3846.17</v>
      </c>
      <c r="D24" s="10">
        <f>8228.69+100</f>
        <v>8328.69</v>
      </c>
      <c r="E24" s="10">
        <f>9590.35+50</f>
        <v>9640.35</v>
      </c>
      <c r="F24" s="10">
        <f>3869.4+50</f>
        <v>3919.4</v>
      </c>
      <c r="G24" s="10">
        <f>3272.13+50</f>
        <v>3322.13</v>
      </c>
      <c r="H24" s="10">
        <v>6699.31</v>
      </c>
      <c r="I24" s="10">
        <f>4236.7+50*2</f>
        <v>4336.7</v>
      </c>
      <c r="J24" s="10">
        <f>3405.4+50</f>
        <v>3455.4</v>
      </c>
      <c r="K24" s="10">
        <f>3933.6+50</f>
        <v>3983.6</v>
      </c>
      <c r="L24" s="10">
        <f>3484.8+50</f>
        <v>3534.8</v>
      </c>
      <c r="M24" s="10">
        <f>3901.6+50</f>
        <v>3951.6</v>
      </c>
      <c r="N24" s="10">
        <f t="shared" si="18"/>
        <v>60299.88</v>
      </c>
    </row>
    <row r="25" spans="1:15" ht="26.25" hidden="1" customHeight="1" thickBot="1" x14ac:dyDescent="0.3">
      <c r="A25" s="19" t="s">
        <v>28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>
        <f t="shared" si="18"/>
        <v>0</v>
      </c>
    </row>
    <row r="26" spans="1:15" ht="26.25" customHeight="1" thickBot="1" x14ac:dyDescent="0.3">
      <c r="A26" s="3" t="s">
        <v>15</v>
      </c>
      <c r="B26" s="13">
        <v>400</v>
      </c>
      <c r="C26" s="13">
        <v>2600</v>
      </c>
      <c r="D26" s="13">
        <v>2600</v>
      </c>
      <c r="E26" s="13">
        <v>2800</v>
      </c>
      <c r="F26" s="13">
        <v>680</v>
      </c>
      <c r="G26" s="13">
        <v>1000</v>
      </c>
      <c r="H26" s="13">
        <v>400</v>
      </c>
      <c r="I26" s="13">
        <v>400</v>
      </c>
      <c r="J26" s="13">
        <v>400</v>
      </c>
      <c r="K26" s="13">
        <v>400</v>
      </c>
      <c r="L26" s="13">
        <v>400</v>
      </c>
      <c r="M26" s="13">
        <v>400</v>
      </c>
      <c r="N26" s="10">
        <f>SUM(B26:M26)</f>
        <v>12480</v>
      </c>
      <c r="O26" s="2"/>
    </row>
    <row r="27" spans="1:15" ht="21.75" customHeight="1" thickBot="1" x14ac:dyDescent="0.3">
      <c r="A27" s="14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</row>
    <row r="28" spans="1:15" ht="19.5" customHeight="1" thickBot="1" x14ac:dyDescent="0.3">
      <c r="A28" s="3" t="s">
        <v>1</v>
      </c>
      <c r="B28" s="10">
        <f>3549.8*0.6</f>
        <v>2129.88</v>
      </c>
      <c r="C28" s="10">
        <f t="shared" ref="C28:M28" si="19">3549.8*0.6</f>
        <v>2129.88</v>
      </c>
      <c r="D28" s="10">
        <f t="shared" si="19"/>
        <v>2129.88</v>
      </c>
      <c r="E28" s="10">
        <f t="shared" si="19"/>
        <v>2129.88</v>
      </c>
      <c r="F28" s="10">
        <f t="shared" si="19"/>
        <v>2129.88</v>
      </c>
      <c r="G28" s="10">
        <f t="shared" si="19"/>
        <v>2129.88</v>
      </c>
      <c r="H28" s="10">
        <f t="shared" si="19"/>
        <v>2129.88</v>
      </c>
      <c r="I28" s="10">
        <f t="shared" si="19"/>
        <v>2129.88</v>
      </c>
      <c r="J28" s="10">
        <f t="shared" si="19"/>
        <v>2129.88</v>
      </c>
      <c r="K28" s="10">
        <f t="shared" si="19"/>
        <v>2129.88</v>
      </c>
      <c r="L28" s="10">
        <f t="shared" si="19"/>
        <v>2129.88</v>
      </c>
      <c r="M28" s="10">
        <f t="shared" si="19"/>
        <v>2129.88</v>
      </c>
      <c r="N28" s="10">
        <f t="shared" ref="N28:N41" si="20">SUM(B28:M28)</f>
        <v>25558.560000000009</v>
      </c>
    </row>
    <row r="29" spans="1:15" ht="22.5" customHeight="1" thickBot="1" x14ac:dyDescent="0.3">
      <c r="A29" s="3" t="s">
        <v>2</v>
      </c>
      <c r="B29" s="10">
        <f t="shared" ref="B29:M29" si="21">3549.8*0.17</f>
        <v>603.46600000000012</v>
      </c>
      <c r="C29" s="10">
        <f t="shared" si="21"/>
        <v>603.46600000000012</v>
      </c>
      <c r="D29" s="10">
        <f t="shared" si="21"/>
        <v>603.46600000000012</v>
      </c>
      <c r="E29" s="10">
        <f t="shared" si="21"/>
        <v>603.46600000000012</v>
      </c>
      <c r="F29" s="10">
        <f t="shared" si="21"/>
        <v>603.46600000000012</v>
      </c>
      <c r="G29" s="10">
        <f t="shared" si="21"/>
        <v>603.46600000000012</v>
      </c>
      <c r="H29" s="10">
        <f t="shared" si="21"/>
        <v>603.46600000000012</v>
      </c>
      <c r="I29" s="10">
        <f t="shared" si="21"/>
        <v>603.46600000000012</v>
      </c>
      <c r="J29" s="10">
        <f t="shared" si="21"/>
        <v>603.46600000000012</v>
      </c>
      <c r="K29" s="10">
        <f t="shared" si="21"/>
        <v>603.46600000000012</v>
      </c>
      <c r="L29" s="10">
        <f t="shared" si="21"/>
        <v>603.46600000000012</v>
      </c>
      <c r="M29" s="10">
        <f t="shared" si="21"/>
        <v>603.46600000000012</v>
      </c>
      <c r="N29" s="10">
        <f t="shared" si="20"/>
        <v>7241.5920000000033</v>
      </c>
    </row>
    <row r="30" spans="1:15" ht="21" customHeight="1" thickBot="1" x14ac:dyDescent="0.3">
      <c r="A30" s="3" t="s">
        <v>3</v>
      </c>
      <c r="B30" s="10">
        <f>76080.11*2.3%</f>
        <v>1749.8425299999999</v>
      </c>
      <c r="C30" s="10">
        <f>77566.21*2.3%</f>
        <v>1784.0228300000001</v>
      </c>
      <c r="D30" s="10">
        <f>76772.62*2.3%</f>
        <v>1765.7702599999998</v>
      </c>
      <c r="E30" s="10">
        <f>74113.79*2.3%</f>
        <v>1704.6171699999998</v>
      </c>
      <c r="F30" s="10">
        <f>75854.5*2.3%</f>
        <v>1744.6534999999999</v>
      </c>
      <c r="G30" s="10">
        <f>73214.05*2.3%</f>
        <v>1683.9231500000001</v>
      </c>
      <c r="H30" s="10">
        <f>82419.37*2.3%</f>
        <v>1895.6455099999998</v>
      </c>
      <c r="I30" s="10">
        <f>84107.8*2.3%</f>
        <v>1934.4793999999999</v>
      </c>
      <c r="J30" s="10">
        <f>83364.68*2.3%</f>
        <v>1917.3876399999999</v>
      </c>
      <c r="K30" s="10">
        <f>84825.54*2.3%</f>
        <v>1950.9874199999999</v>
      </c>
      <c r="L30" s="10">
        <f>87352.85*2.3%</f>
        <v>2009.1155500000002</v>
      </c>
      <c r="M30" s="10">
        <f>91876.87*2.3%</f>
        <v>2113.1680099999999</v>
      </c>
      <c r="N30" s="10">
        <f t="shared" si="20"/>
        <v>22253.612970000002</v>
      </c>
    </row>
    <row r="31" spans="1:15" ht="23.25" customHeight="1" thickBot="1" x14ac:dyDescent="0.3">
      <c r="A31" s="3" t="s">
        <v>4</v>
      </c>
      <c r="B31" s="10">
        <f>102063.97*3%</f>
        <v>3061.9191000000001</v>
      </c>
      <c r="C31" s="10">
        <f>64598.8*3%</f>
        <v>1937.9639999999999</v>
      </c>
      <c r="D31" s="10">
        <f>116059.92*3%</f>
        <v>3481.7975999999999</v>
      </c>
      <c r="E31" s="10">
        <f>124102.48*3%</f>
        <v>3723.0743999999995</v>
      </c>
      <c r="F31" s="10">
        <f>65780.94*3%</f>
        <v>1973.4282000000001</v>
      </c>
      <c r="G31" s="10">
        <f>56971.38*3%</f>
        <v>1709.1413999999997</v>
      </c>
      <c r="H31" s="10">
        <f>110071.31*3%</f>
        <v>3302.1392999999998</v>
      </c>
      <c r="I31" s="10">
        <f>74924.23*3%</f>
        <v>2247.7268999999997</v>
      </c>
      <c r="J31" s="10">
        <f>74342.26*3%</f>
        <v>2230.2677999999996</v>
      </c>
      <c r="K31" s="10">
        <f>81258.96*3%</f>
        <v>2437.7688000000003</v>
      </c>
      <c r="L31" s="10">
        <f>72029.78*3%</f>
        <v>2160.8933999999999</v>
      </c>
      <c r="M31" s="10">
        <f>81102.18*3%</f>
        <v>2433.0653999999995</v>
      </c>
      <c r="N31" s="10">
        <f t="shared" si="20"/>
        <v>30699.186300000005</v>
      </c>
    </row>
    <row r="32" spans="1:15" ht="23.25" customHeight="1" thickBot="1" x14ac:dyDescent="0.3">
      <c r="A32" s="3" t="s">
        <v>9</v>
      </c>
      <c r="B32" s="20">
        <f t="shared" ref="B32:M32" si="22">3549.8*9.7</f>
        <v>34433.06</v>
      </c>
      <c r="C32" s="20">
        <f t="shared" si="22"/>
        <v>34433.06</v>
      </c>
      <c r="D32" s="20">
        <f t="shared" si="22"/>
        <v>34433.06</v>
      </c>
      <c r="E32" s="20">
        <f t="shared" si="22"/>
        <v>34433.06</v>
      </c>
      <c r="F32" s="20">
        <f t="shared" si="22"/>
        <v>34433.06</v>
      </c>
      <c r="G32" s="20">
        <f t="shared" si="22"/>
        <v>34433.06</v>
      </c>
      <c r="H32" s="20">
        <f t="shared" si="22"/>
        <v>34433.06</v>
      </c>
      <c r="I32" s="20">
        <f t="shared" si="22"/>
        <v>34433.06</v>
      </c>
      <c r="J32" s="20">
        <f t="shared" si="22"/>
        <v>34433.06</v>
      </c>
      <c r="K32" s="20">
        <f t="shared" si="22"/>
        <v>34433.06</v>
      </c>
      <c r="L32" s="20">
        <f t="shared" si="22"/>
        <v>34433.06</v>
      </c>
      <c r="M32" s="20">
        <f t="shared" si="22"/>
        <v>34433.06</v>
      </c>
      <c r="N32" s="10">
        <f t="shared" si="20"/>
        <v>413196.72</v>
      </c>
    </row>
    <row r="33" spans="1:14" ht="26.25" customHeight="1" thickBot="1" x14ac:dyDescent="0.3">
      <c r="A33" s="3" t="s">
        <v>20</v>
      </c>
      <c r="B33" s="10">
        <v>0</v>
      </c>
      <c r="C33" s="10">
        <v>0</v>
      </c>
      <c r="D33" s="10">
        <v>0</v>
      </c>
      <c r="E33" s="10">
        <f>4047.15+65.32</f>
        <v>4112.47</v>
      </c>
      <c r="F33" s="10">
        <v>0</v>
      </c>
      <c r="G33" s="10">
        <f>339.22+0.06</f>
        <v>339.28000000000003</v>
      </c>
      <c r="H33" s="10">
        <v>0</v>
      </c>
      <c r="I33" s="10">
        <v>0</v>
      </c>
      <c r="J33" s="10">
        <v>0</v>
      </c>
      <c r="K33" s="10">
        <v>0</v>
      </c>
      <c r="L33" s="10">
        <f>0+0.01</f>
        <v>0.01</v>
      </c>
      <c r="M33" s="10">
        <f>0+2.22</f>
        <v>2.2200000000000002</v>
      </c>
      <c r="N33" s="10">
        <f t="shared" si="20"/>
        <v>4453.9800000000005</v>
      </c>
    </row>
    <row r="34" spans="1:14" ht="26.25" customHeight="1" thickBot="1" x14ac:dyDescent="0.3">
      <c r="A34" s="3" t="s">
        <v>21</v>
      </c>
      <c r="B34" s="10">
        <v>350.74</v>
      </c>
      <c r="C34" s="10">
        <v>350.74</v>
      </c>
      <c r="D34" s="10">
        <v>350.74</v>
      </c>
      <c r="E34" s="10">
        <v>350.74</v>
      </c>
      <c r="F34" s="10">
        <v>350.74</v>
      </c>
      <c r="G34" s="10">
        <v>350.74</v>
      </c>
      <c r="H34" s="10">
        <v>350.74</v>
      </c>
      <c r="I34" s="10">
        <v>350.74</v>
      </c>
      <c r="J34" s="10">
        <v>350.74</v>
      </c>
      <c r="K34" s="10">
        <v>350.74</v>
      </c>
      <c r="L34" s="10">
        <v>350.74</v>
      </c>
      <c r="M34" s="10">
        <v>350.74</v>
      </c>
      <c r="N34" s="10">
        <f t="shared" si="20"/>
        <v>4208.8799999999992</v>
      </c>
    </row>
    <row r="35" spans="1:14" ht="26.25" customHeight="1" thickBot="1" x14ac:dyDescent="0.3">
      <c r="A35" s="3" t="s">
        <v>22</v>
      </c>
      <c r="B35" s="10">
        <v>5839.5</v>
      </c>
      <c r="C35" s="10">
        <v>5038.8</v>
      </c>
      <c r="D35" s="10">
        <v>2356.1999999999998</v>
      </c>
      <c r="E35" s="10">
        <v>0</v>
      </c>
      <c r="F35" s="10">
        <v>1448.4</v>
      </c>
      <c r="G35" s="10">
        <v>4115.7</v>
      </c>
      <c r="H35" s="10">
        <v>2269.5</v>
      </c>
      <c r="I35" s="10">
        <v>1519.8</v>
      </c>
      <c r="J35" s="10">
        <v>2993.7</v>
      </c>
      <c r="K35" s="10">
        <v>5543.7</v>
      </c>
      <c r="L35" s="10">
        <v>10108.200000000001</v>
      </c>
      <c r="M35" s="10">
        <v>0</v>
      </c>
      <c r="N35" s="10">
        <f t="shared" si="20"/>
        <v>41233.5</v>
      </c>
    </row>
    <row r="36" spans="1:14" ht="26.25" customHeight="1" thickBot="1" x14ac:dyDescent="0.3">
      <c r="A36" s="3" t="s">
        <v>26</v>
      </c>
      <c r="B36" s="10">
        <v>451.19</v>
      </c>
      <c r="C36" s="10">
        <v>451.19</v>
      </c>
      <c r="D36" s="10">
        <v>451.19</v>
      </c>
      <c r="E36" s="10">
        <v>451.19</v>
      </c>
      <c r="F36" s="10">
        <v>451.19</v>
      </c>
      <c r="G36" s="10">
        <v>451.19</v>
      </c>
      <c r="H36" s="10">
        <v>451.19</v>
      </c>
      <c r="I36" s="10">
        <v>451.19</v>
      </c>
      <c r="J36" s="10">
        <v>451.19</v>
      </c>
      <c r="K36" s="10">
        <v>451.19</v>
      </c>
      <c r="L36" s="10">
        <v>451.19</v>
      </c>
      <c r="M36" s="10">
        <v>451.19</v>
      </c>
      <c r="N36" s="10">
        <f t="shared" si="20"/>
        <v>5414.2799999999988</v>
      </c>
    </row>
    <row r="37" spans="1:14" ht="22.5" customHeight="1" thickBot="1" x14ac:dyDescent="0.3">
      <c r="A37" s="3" t="s">
        <v>6</v>
      </c>
      <c r="B37" s="20">
        <f t="shared" ref="B37:G37" si="23">3549.8*2.79</f>
        <v>9903.9420000000009</v>
      </c>
      <c r="C37" s="20">
        <f t="shared" si="23"/>
        <v>9903.9420000000009</v>
      </c>
      <c r="D37" s="20">
        <f t="shared" si="23"/>
        <v>9903.9420000000009</v>
      </c>
      <c r="E37" s="20">
        <f t="shared" si="23"/>
        <v>9903.9420000000009</v>
      </c>
      <c r="F37" s="20">
        <f t="shared" si="23"/>
        <v>9903.9420000000009</v>
      </c>
      <c r="G37" s="20">
        <f t="shared" si="23"/>
        <v>9903.9420000000009</v>
      </c>
      <c r="H37" s="20">
        <f>3549.8*3.22</f>
        <v>11430.356000000002</v>
      </c>
      <c r="I37" s="20">
        <f t="shared" ref="I37:M37" si="24">3549.8*3.22</f>
        <v>11430.356000000002</v>
      </c>
      <c r="J37" s="20">
        <f t="shared" si="24"/>
        <v>11430.356000000002</v>
      </c>
      <c r="K37" s="20">
        <f t="shared" si="24"/>
        <v>11430.356000000002</v>
      </c>
      <c r="L37" s="20">
        <f t="shared" si="24"/>
        <v>11430.356000000002</v>
      </c>
      <c r="M37" s="20">
        <f t="shared" si="24"/>
        <v>11430.356000000002</v>
      </c>
      <c r="N37" s="10">
        <f t="shared" si="20"/>
        <v>128005.78800000002</v>
      </c>
    </row>
    <row r="38" spans="1:14" ht="21.75" customHeight="1" thickBot="1" x14ac:dyDescent="0.3">
      <c r="A38" s="3" t="s">
        <v>45</v>
      </c>
      <c r="B38" s="10">
        <v>4740</v>
      </c>
      <c r="C38" s="10">
        <v>3915</v>
      </c>
      <c r="D38" s="10">
        <v>8190</v>
      </c>
      <c r="E38" s="10">
        <v>3810</v>
      </c>
      <c r="F38" s="10">
        <v>8555</v>
      </c>
      <c r="G38" s="10">
        <v>3380</v>
      </c>
      <c r="H38" s="10">
        <v>6235</v>
      </c>
      <c r="I38" s="10">
        <v>4195</v>
      </c>
      <c r="J38" s="10">
        <v>3025</v>
      </c>
      <c r="K38" s="10">
        <v>3900</v>
      </c>
      <c r="L38" s="10">
        <v>3250</v>
      </c>
      <c r="M38" s="10">
        <v>3745</v>
      </c>
      <c r="N38" s="10">
        <f t="shared" si="20"/>
        <v>56940</v>
      </c>
    </row>
    <row r="39" spans="1:14" ht="24.75" customHeight="1" thickBot="1" x14ac:dyDescent="0.3">
      <c r="A39" s="3" t="s">
        <v>25</v>
      </c>
      <c r="B39" s="10">
        <v>900</v>
      </c>
      <c r="C39" s="10">
        <v>900</v>
      </c>
      <c r="D39" s="10">
        <v>900</v>
      </c>
      <c r="E39" s="10">
        <v>900</v>
      </c>
      <c r="F39" s="10">
        <v>900</v>
      </c>
      <c r="G39" s="10">
        <v>900</v>
      </c>
      <c r="H39" s="10">
        <v>900</v>
      </c>
      <c r="I39" s="10">
        <v>900</v>
      </c>
      <c r="J39" s="10">
        <v>900</v>
      </c>
      <c r="K39" s="10">
        <v>900</v>
      </c>
      <c r="L39" s="10">
        <v>900</v>
      </c>
      <c r="M39" s="10">
        <v>900</v>
      </c>
      <c r="N39" s="10">
        <f t="shared" si="20"/>
        <v>10800</v>
      </c>
    </row>
    <row r="40" spans="1:14" ht="24.75" customHeight="1" thickBot="1" x14ac:dyDescent="0.3">
      <c r="A40" s="3" t="s">
        <v>14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14758.85</v>
      </c>
      <c r="M40" s="10">
        <v>0</v>
      </c>
      <c r="N40" s="10">
        <f t="shared" si="20"/>
        <v>14758.85</v>
      </c>
    </row>
    <row r="41" spans="1:14" ht="24" customHeight="1" thickBot="1" x14ac:dyDescent="0.3">
      <c r="A41" s="3" t="s">
        <v>10</v>
      </c>
      <c r="B41" s="10">
        <f>4930.9</f>
        <v>4930.8999999999996</v>
      </c>
      <c r="C41" s="10">
        <f>2503.8+4643.2</f>
        <v>7147</v>
      </c>
      <c r="D41" s="10">
        <f>26352.32+7008.6+3615.2+3356.8</f>
        <v>40332.92</v>
      </c>
      <c r="E41" s="10">
        <f>808.9+7397.9+886.1+823.4+699.9+69798</f>
        <v>80414.2</v>
      </c>
      <c r="F41" s="10">
        <f>3138.6+1104.1</f>
        <v>4242.7</v>
      </c>
      <c r="G41" s="10">
        <f>1867+2719.3+4117.4</f>
        <v>8703.7000000000007</v>
      </c>
      <c r="H41" s="10">
        <v>0</v>
      </c>
      <c r="I41" s="10">
        <v>0</v>
      </c>
      <c r="J41" s="10">
        <f>2197.3</f>
        <v>2197.3000000000002</v>
      </c>
      <c r="K41" s="10">
        <f>3026.5+3476.8+105</f>
        <v>6608.3</v>
      </c>
      <c r="L41" s="10">
        <f>8510.5+11295.6+849.5+8583.44</f>
        <v>29239.040000000001</v>
      </c>
      <c r="M41" s="10">
        <f>83807.28+2275.3+3812.2+2438.7+2190+2067.3+4193.1+12601.6+10216.3+1793.8</f>
        <v>125395.58000000002</v>
      </c>
      <c r="N41" s="10">
        <f t="shared" si="20"/>
        <v>309211.64</v>
      </c>
    </row>
    <row r="42" spans="1:14" ht="22.5" customHeight="1" thickBot="1" x14ac:dyDescent="0.3">
      <c r="A42" s="8" t="s">
        <v>23</v>
      </c>
      <c r="B42" s="9">
        <f t="shared" ref="B42:M42" si="25">SUM(B28:B41)</f>
        <v>69094.439629999993</v>
      </c>
      <c r="C42" s="9">
        <f t="shared" si="25"/>
        <v>68595.064830000003</v>
      </c>
      <c r="D42" s="9">
        <f t="shared" si="25"/>
        <v>104898.96586</v>
      </c>
      <c r="E42" s="9">
        <f t="shared" si="25"/>
        <v>142536.63957</v>
      </c>
      <c r="F42" s="9">
        <f t="shared" si="25"/>
        <v>66736.459700000007</v>
      </c>
      <c r="G42" s="9">
        <f t="shared" si="25"/>
        <v>68704.022549999994</v>
      </c>
      <c r="H42" s="9">
        <f t="shared" si="25"/>
        <v>64000.97681</v>
      </c>
      <c r="I42" s="9">
        <f t="shared" si="25"/>
        <v>60195.698300000004</v>
      </c>
      <c r="J42" s="9">
        <f t="shared" si="25"/>
        <v>62662.347439999998</v>
      </c>
      <c r="K42" s="9">
        <f t="shared" si="25"/>
        <v>70739.448219999991</v>
      </c>
      <c r="L42" s="9">
        <f t="shared" si="25"/>
        <v>111824.80095</v>
      </c>
      <c r="M42" s="9">
        <f t="shared" si="25"/>
        <v>183987.72541000001</v>
      </c>
      <c r="N42" s="9">
        <f>SUM(B42:M42)</f>
        <v>1073976.5892700001</v>
      </c>
    </row>
    <row r="43" spans="1:14" ht="23.25" customHeight="1" thickBot="1" x14ac:dyDescent="0.3">
      <c r="A43" s="3" t="s">
        <v>5</v>
      </c>
      <c r="B43" s="17">
        <f t="shared" ref="B43:N43" si="26">B17-B42</f>
        <v>33369.530370000022</v>
      </c>
      <c r="C43" s="17">
        <f t="shared" si="26"/>
        <v>-715.76483000000007</v>
      </c>
      <c r="D43" s="17">
        <f t="shared" si="26"/>
        <v>15129.074140000012</v>
      </c>
      <c r="E43" s="17">
        <f t="shared" si="26"/>
        <v>-14947.469570000001</v>
      </c>
      <c r="F43" s="17">
        <f t="shared" si="26"/>
        <v>387.37029999999504</v>
      </c>
      <c r="G43" s="17">
        <f t="shared" si="26"/>
        <v>-10053.772550000002</v>
      </c>
      <c r="H43" s="17">
        <f t="shared" si="26"/>
        <v>46470.333189999983</v>
      </c>
      <c r="I43" s="17">
        <f t="shared" si="26"/>
        <v>16646.311699999991</v>
      </c>
      <c r="J43" s="17">
        <f t="shared" si="26"/>
        <v>12832.752559999979</v>
      </c>
      <c r="K43" s="17">
        <f t="shared" si="26"/>
        <v>11665.691780000023</v>
      </c>
      <c r="L43" s="17">
        <f t="shared" si="26"/>
        <v>-38635.770950000006</v>
      </c>
      <c r="M43" s="17">
        <f t="shared" si="26"/>
        <v>-101703.66541000002</v>
      </c>
      <c r="N43" s="10">
        <f t="shared" si="26"/>
        <v>-29555.37927000015</v>
      </c>
    </row>
    <row r="44" spans="1:14" ht="23.25" customHeight="1" thickBot="1" x14ac:dyDescent="0.3">
      <c r="A44" s="3" t="s">
        <v>7</v>
      </c>
      <c r="B44" s="13">
        <f t="shared" ref="B44:N44" si="27">B5+B43</f>
        <v>-722661.58962999994</v>
      </c>
      <c r="C44" s="13">
        <f t="shared" si="27"/>
        <v>-723377.35445999994</v>
      </c>
      <c r="D44" s="13">
        <f t="shared" si="27"/>
        <v>-708248.2803199999</v>
      </c>
      <c r="E44" s="13">
        <f t="shared" si="27"/>
        <v>-723195.74988999986</v>
      </c>
      <c r="F44" s="13">
        <f t="shared" si="27"/>
        <v>-722808.37958999991</v>
      </c>
      <c r="G44" s="13">
        <f t="shared" si="27"/>
        <v>-732862.1521399999</v>
      </c>
      <c r="H44" s="13">
        <f t="shared" si="27"/>
        <v>-686391.81894999987</v>
      </c>
      <c r="I44" s="13">
        <f t="shared" si="27"/>
        <v>-669745.50724999991</v>
      </c>
      <c r="J44" s="13">
        <f t="shared" si="27"/>
        <v>-656912.75468999997</v>
      </c>
      <c r="K44" s="13">
        <f t="shared" si="27"/>
        <v>-645247.06290999998</v>
      </c>
      <c r="L44" s="13">
        <f t="shared" si="27"/>
        <v>-683882.83386000001</v>
      </c>
      <c r="M44" s="13">
        <f t="shared" si="27"/>
        <v>-785586.49927000003</v>
      </c>
      <c r="N44" s="13">
        <f t="shared" si="27"/>
        <v>-785586.49927000015</v>
      </c>
    </row>
    <row r="45" spans="1:14" ht="24" customHeight="1" thickBot="1" x14ac:dyDescent="0.3">
      <c r="A45" s="14" t="s">
        <v>11</v>
      </c>
      <c r="B45" s="18">
        <f t="shared" ref="B45:N45" si="28">B6+B17-B7</f>
        <v>-438844.85999999993</v>
      </c>
      <c r="C45" s="18">
        <f t="shared" si="28"/>
        <v>-449895.55999999994</v>
      </c>
      <c r="D45" s="18">
        <f t="shared" si="28"/>
        <v>-407996.83999999991</v>
      </c>
      <c r="E45" s="18">
        <f t="shared" si="28"/>
        <v>-355854.34999999992</v>
      </c>
      <c r="F45" s="18">
        <f t="shared" si="28"/>
        <v>-365933.8899999999</v>
      </c>
      <c r="G45" s="18">
        <f t="shared" si="28"/>
        <v>-381822.5199999999</v>
      </c>
      <c r="H45" s="18">
        <f t="shared" si="28"/>
        <v>-355212.80999999994</v>
      </c>
      <c r="I45" s="18">
        <f t="shared" si="28"/>
        <v>-363901.43999999994</v>
      </c>
      <c r="J45" s="18">
        <f t="shared" si="28"/>
        <v>-373187.20999999996</v>
      </c>
      <c r="K45" s="18">
        <f t="shared" si="28"/>
        <v>-377036.85999999993</v>
      </c>
      <c r="L45" s="18">
        <f t="shared" si="28"/>
        <v>-392652.55999999994</v>
      </c>
      <c r="M45" s="18">
        <f t="shared" si="28"/>
        <v>-403737.74999999994</v>
      </c>
      <c r="N45" s="18">
        <f t="shared" si="28"/>
        <v>-403737.75</v>
      </c>
    </row>
    <row r="46" spans="1:14" ht="19.5" hidden="1" customHeight="1" thickBot="1" x14ac:dyDescent="0.35">
      <c r="A46" s="25" t="s">
        <v>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21"/>
    </row>
    <row r="47" spans="1:14" ht="21.75" hidden="1" customHeight="1" thickBot="1" x14ac:dyDescent="0.35">
      <c r="A47" s="25" t="s">
        <v>11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2"/>
    </row>
  </sheetData>
  <mergeCells count="3">
    <mergeCell ref="A1:N1"/>
    <mergeCell ref="A46:M46"/>
    <mergeCell ref="A47:M47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2024-03-01T02:46:55Z</cp:lastPrinted>
  <dcterms:created xsi:type="dcterms:W3CDTF">2011-06-06T03:25:48Z</dcterms:created>
  <dcterms:modified xsi:type="dcterms:W3CDTF">2024-03-01T02:54:59Z</dcterms:modified>
</cp:coreProperties>
</file>