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7" i="1" l="1"/>
  <c r="M29" i="1" l="1"/>
  <c r="L29" i="1"/>
  <c r="K29" i="1"/>
  <c r="K37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 l="1"/>
  <c r="L25" i="1"/>
  <c r="M25" i="1"/>
  <c r="K24" i="1"/>
  <c r="L24" i="1"/>
  <c r="M24" i="1"/>
  <c r="I33" i="1" l="1"/>
  <c r="J33" i="1"/>
  <c r="H33" i="1"/>
  <c r="J29" i="1" l="1"/>
  <c r="I29" i="1"/>
  <c r="H29" i="1"/>
  <c r="I37" i="1" l="1"/>
  <c r="H37" i="1" l="1"/>
  <c r="J27" i="1" l="1"/>
  <c r="J16" i="1"/>
  <c r="J26" i="1"/>
  <c r="J8" i="1"/>
  <c r="I27" i="1" l="1"/>
  <c r="I16" i="1"/>
  <c r="I26" i="1"/>
  <c r="I8" i="1"/>
  <c r="G37" i="1" l="1"/>
  <c r="H27" i="1" l="1"/>
  <c r="H16" i="1"/>
  <c r="H26" i="1"/>
  <c r="H8" i="1"/>
  <c r="H28" i="1" l="1"/>
  <c r="I28" i="1"/>
  <c r="J28" i="1"/>
  <c r="H25" i="1"/>
  <c r="I25" i="1"/>
  <c r="J25" i="1"/>
  <c r="H24" i="1"/>
  <c r="I24" i="1"/>
  <c r="J24" i="1"/>
  <c r="F37" i="1" l="1"/>
  <c r="G29" i="1" l="1"/>
  <c r="F29" i="1"/>
  <c r="E29" i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7" i="1" l="1"/>
  <c r="E33" i="1" l="1"/>
  <c r="F33" i="1"/>
  <c r="G33" i="1"/>
  <c r="E28" i="1"/>
  <c r="F28" i="1"/>
  <c r="G28" i="1"/>
  <c r="E25" i="1"/>
  <c r="F25" i="1"/>
  <c r="G25" i="1"/>
  <c r="E24" i="1"/>
  <c r="F24" i="1"/>
  <c r="G24" i="1"/>
  <c r="D37" i="1" l="1"/>
  <c r="D29" i="1" l="1"/>
  <c r="C29" i="1"/>
  <c r="B29" i="1"/>
  <c r="D27" i="1" l="1"/>
  <c r="D16" i="1"/>
  <c r="D26" i="1"/>
  <c r="D8" i="1"/>
  <c r="C37" i="1" l="1"/>
  <c r="C27" i="1" l="1"/>
  <c r="C16" i="1"/>
  <c r="C26" i="1"/>
  <c r="C8" i="1"/>
  <c r="B27" i="1" l="1"/>
  <c r="B16" i="1"/>
  <c r="B26" i="1"/>
  <c r="B8" i="1"/>
  <c r="B37" i="1" l="1"/>
  <c r="C33" i="1" l="1"/>
  <c r="D33" i="1"/>
  <c r="C28" i="1"/>
  <c r="D28" i="1"/>
  <c r="C24" i="1"/>
  <c r="D24" i="1"/>
  <c r="C25" i="1"/>
  <c r="D25" i="1"/>
  <c r="B33" i="1"/>
  <c r="B28" i="1"/>
  <c r="B25" i="1"/>
  <c r="B24" i="1"/>
  <c r="N25" i="1" l="1"/>
  <c r="N26" i="1"/>
  <c r="N27" i="1"/>
  <c r="N28" i="1"/>
  <c r="N29" i="1"/>
  <c r="N30" i="1"/>
  <c r="N31" i="1"/>
  <c r="N32" i="1"/>
  <c r="N33" i="1"/>
  <c r="N34" i="1"/>
  <c r="N35" i="1"/>
  <c r="N36" i="1"/>
  <c r="N37" i="1"/>
  <c r="N24" i="1"/>
  <c r="N9" i="1"/>
  <c r="N10" i="1"/>
  <c r="N11" i="1"/>
  <c r="N12" i="1"/>
  <c r="N13" i="1"/>
  <c r="N14" i="1"/>
  <c r="N8" i="1"/>
  <c r="N6" i="1" l="1"/>
  <c r="N5" i="1"/>
  <c r="N17" i="1" l="1"/>
  <c r="N18" i="1"/>
  <c r="N19" i="1"/>
  <c r="N20" i="1"/>
  <c r="N21" i="1"/>
  <c r="N22" i="1"/>
  <c r="N16" i="1"/>
  <c r="K15" i="1"/>
  <c r="L15" i="1"/>
  <c r="M15" i="1"/>
  <c r="K7" i="1"/>
  <c r="M7" i="1"/>
  <c r="L38" i="1" l="1"/>
  <c r="L39" i="1" s="1"/>
  <c r="M38" i="1"/>
  <c r="M39" i="1" s="1"/>
  <c r="K38" i="1"/>
  <c r="L7" i="1"/>
  <c r="K39" i="1" l="1"/>
  <c r="H15" i="1"/>
  <c r="I15" i="1"/>
  <c r="J15" i="1"/>
  <c r="H7" i="1"/>
  <c r="I7" i="1"/>
  <c r="J7" i="1"/>
  <c r="J38" i="1" l="1"/>
  <c r="J39" i="1" s="1"/>
  <c r="I38" i="1"/>
  <c r="I39" i="1" s="1"/>
  <c r="G15" i="1"/>
  <c r="G7" i="1"/>
  <c r="F15" i="1"/>
  <c r="F7" i="1"/>
  <c r="E15" i="1"/>
  <c r="E7" i="1"/>
  <c r="D15" i="1"/>
  <c r="D7" i="1"/>
  <c r="C15" i="1"/>
  <c r="C7" i="1"/>
  <c r="B15" i="1"/>
  <c r="B7" i="1"/>
  <c r="N7" i="1" l="1"/>
  <c r="N15" i="1"/>
  <c r="D38" i="1"/>
  <c r="D39" i="1" s="1"/>
  <c r="G38" i="1"/>
  <c r="G39" i="1" s="1"/>
  <c r="F38" i="1"/>
  <c r="F39" i="1" s="1"/>
  <c r="H38" i="1"/>
  <c r="E38" i="1"/>
  <c r="B41" i="1"/>
  <c r="C6" i="1" s="1"/>
  <c r="C41" i="1" s="1"/>
  <c r="D6" i="1" s="1"/>
  <c r="D41" i="1" s="1"/>
  <c r="C38" i="1" l="1"/>
  <c r="C39" i="1" s="1"/>
  <c r="N41" i="1"/>
  <c r="E6" i="1"/>
  <c r="E41" i="1" s="1"/>
  <c r="F6" i="1" s="1"/>
  <c r="F41" i="1" s="1"/>
  <c r="G6" i="1" s="1"/>
  <c r="G41" i="1" s="1"/>
  <c r="B38" i="1"/>
  <c r="B39" i="1" s="1"/>
  <c r="B40" i="1" s="1"/>
  <c r="E39" i="1"/>
  <c r="H39" i="1"/>
  <c r="N38" i="1" l="1"/>
  <c r="N39" i="1" s="1"/>
  <c r="N40" i="1" s="1"/>
  <c r="C40" i="1"/>
  <c r="H6" i="1"/>
  <c r="C5" i="1"/>
  <c r="D40" i="1" l="1"/>
  <c r="E40" i="1" s="1"/>
  <c r="D5" i="1"/>
  <c r="H41" i="1"/>
  <c r="I6" i="1" s="1"/>
  <c r="I41" i="1" s="1"/>
  <c r="J6" i="1" s="1"/>
  <c r="E5" i="1" l="1"/>
  <c r="F40" i="1"/>
  <c r="G5" i="1" s="1"/>
  <c r="F5" i="1"/>
  <c r="J41" i="1"/>
  <c r="K6" i="1" s="1"/>
  <c r="G40" i="1" l="1"/>
  <c r="H40" i="1" s="1"/>
  <c r="I40" i="1" s="1"/>
  <c r="J40" i="1" s="1"/>
  <c r="K40" i="1" s="1"/>
  <c r="L40" i="1" s="1"/>
  <c r="M40" i="1" s="1"/>
  <c r="K41" i="1"/>
  <c r="L6" i="1" s="1"/>
  <c r="H5" i="1" l="1"/>
  <c r="L41" i="1"/>
  <c r="M6" i="1" s="1"/>
  <c r="M41" i="1" s="1"/>
  <c r="I5" i="1"/>
  <c r="J5" i="1" l="1"/>
  <c r="K5" i="1" l="1"/>
  <c r="L5" i="1" l="1"/>
  <c r="M5" i="1" l="1"/>
</calcChain>
</file>

<file path=xl/sharedStrings.xml><?xml version="1.0" encoding="utf-8"?>
<sst xmlns="http://schemas.openxmlformats.org/spreadsheetml/2006/main" count="52" uniqueCount="43">
  <si>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</si>
  <si>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</si>
  <si>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</si>
  <si>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</si>
  <si>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</si>
  <si>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</si>
  <si>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</si>
  <si>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</si>
  <si>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</si>
  <si>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</si>
  <si>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</si>
  <si>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</si>
  <si>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</si>
  <si>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</si>
  <si>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</si>
  <si>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</si>
  <si>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</si>
  <si>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</si>
  <si>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</si>
  <si>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</si>
  <si>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</si>
  <si>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</si>
  <si>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</si>
  <si>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</si>
  <si>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</si>
  <si>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общедомовых приборов учета</t>
  </si>
  <si>
    <t>Отведение стоков ОИ</t>
  </si>
  <si>
    <t>Содержание жилья и текущий ремонт,  ОПУ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</si>
  <si>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</si>
  <si>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</si>
  <si>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</si>
  <si>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</si>
  <si>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</si>
  <si>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</si>
  <si>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</si>
  <si>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</si>
  <si>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</si>
  <si>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</t>
  </si>
  <si>
    <t>Ноябрь 2023г</t>
  </si>
  <si>
    <t>Декабрь 2023г</t>
  </si>
  <si>
    <t>Всего:                       за  2023г.</t>
  </si>
  <si>
    <t>Возмещение расходов совета МКД</t>
  </si>
  <si>
    <t xml:space="preserve">                 ОТЧЕТ по дому Разина, 70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</si>
</sst>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zoomScale="75" workbookViewId="0">
      <selection activeCell="B2" sqref="B1:K1048576"/>
    </sheetView>
  </sheetViews>
  <sheetFormatPr defaultRowHeight="13.2" x14ac:dyDescent="0.25"/>
  <cols>
    <col min="1" max="1" width="58.6640625" customWidth="1"/>
    <col min="2" max="3" width="14.88671875" customWidth="1"/>
    <col min="4" max="4" width="14.5546875" customWidth="1"/>
    <col min="5" max="5" width="13.6640625" customWidth="1"/>
    <col min="6" max="6" width="15" customWidth="1"/>
    <col min="7" max="7" width="14.33203125" customWidth="1"/>
    <col min="8" max="8" width="14.88671875" customWidth="1"/>
    <col min="9" max="9" width="14.33203125" customWidth="1"/>
    <col min="10" max="13" width="13.6640625" customWidth="1"/>
    <col min="14" max="14" width="16.109375" customWidth="1"/>
  </cols>
  <sheetData>
    <row r="1" spans="1:18" ht="20.25" customHeight="1" x14ac:dyDescent="0.35">
      <c r="A1" s="25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16</v>
      </c>
      <c r="B5" s="8">
        <v>-591363.23</v>
      </c>
      <c r="C5" s="8">
        <f t="shared" ref="C5:D6" si="0">B40</f>
        <v>-591230.93258999998</v>
      </c>
      <c r="D5" s="8">
        <f t="shared" si="0"/>
        <v>-589558.33883999998</v>
      </c>
      <c r="E5" s="8">
        <f t="shared" ref="E5:E6" si="1">D40</f>
        <v>-709895.94786999992</v>
      </c>
      <c r="F5" s="8">
        <f t="shared" ref="F5:F6" si="2">E40</f>
        <v>-796796.17615999992</v>
      </c>
      <c r="G5" s="8">
        <f t="shared" ref="G5:G6" si="3">F40</f>
        <v>-885750.08005999983</v>
      </c>
      <c r="H5" s="8">
        <f t="shared" ref="H5:H6" si="4">G40</f>
        <v>-803872.33007999975</v>
      </c>
      <c r="I5" s="8">
        <f t="shared" ref="I5:I6" si="5">H40</f>
        <v>-859496.8931699997</v>
      </c>
      <c r="J5" s="8">
        <f t="shared" ref="J5:J6" si="6">I40</f>
        <v>-865214.48758999968</v>
      </c>
      <c r="K5" s="8">
        <f t="shared" ref="K5:K6" si="7">J40</f>
        <v>-839905.98595999973</v>
      </c>
      <c r="L5" s="8">
        <f t="shared" ref="L5:L6" si="8">K40</f>
        <v>-815915.48530999967</v>
      </c>
      <c r="M5" s="8">
        <f t="shared" ref="M5:M6" si="9">L40</f>
        <v>-780415.93190999969</v>
      </c>
      <c r="N5" s="8">
        <f>B5</f>
        <v>-591363.23</v>
      </c>
    </row>
    <row r="6" spans="1:18" ht="21" customHeight="1" thickBot="1" x14ac:dyDescent="0.3">
      <c r="A6" s="7" t="s">
        <v>13</v>
      </c>
      <c r="B6" s="8">
        <v>-261385.31</v>
      </c>
      <c r="C6" s="8">
        <f t="shared" si="0"/>
        <v>-267796.8</v>
      </c>
      <c r="D6" s="8">
        <f t="shared" si="0"/>
        <v>-289516.94</v>
      </c>
      <c r="E6" s="8">
        <f t="shared" si="1"/>
        <v>-278614.82999999996</v>
      </c>
      <c r="F6" s="8">
        <f t="shared" si="2"/>
        <v>-276659.96999999997</v>
      </c>
      <c r="G6" s="8">
        <f t="shared" si="3"/>
        <v>-289551.33999999997</v>
      </c>
      <c r="H6" s="8">
        <f t="shared" si="4"/>
        <v>-222281.47999999992</v>
      </c>
      <c r="I6" s="8">
        <f t="shared" si="5"/>
        <v>-235959.41999999993</v>
      </c>
      <c r="J6" s="8">
        <f t="shared" si="6"/>
        <v>-269463.59999999992</v>
      </c>
      <c r="K6" s="8">
        <f t="shared" si="7"/>
        <v>-267614.95999999996</v>
      </c>
      <c r="L6" s="8">
        <f t="shared" si="8"/>
        <v>-264279.11</v>
      </c>
      <c r="M6" s="8">
        <f t="shared" si="9"/>
        <v>-271526.01</v>
      </c>
      <c r="N6" s="8">
        <f>B6</f>
        <v>-261385.31</v>
      </c>
    </row>
    <row r="7" spans="1:18" ht="20.25" customHeight="1" thickBot="1" x14ac:dyDescent="0.3">
      <c r="A7" s="9" t="s">
        <v>12</v>
      </c>
      <c r="B7" s="10">
        <f>SUM(B8:B14)</f>
        <v>108464.93000000001</v>
      </c>
      <c r="C7" s="10">
        <f>SUM(C8:C14)</f>
        <v>118670.65000000001</v>
      </c>
      <c r="D7" s="10">
        <f>SUM(D8:D14)</f>
        <v>114816.41</v>
      </c>
      <c r="E7" s="10">
        <f t="shared" ref="E7:M7" si="10">SUM(E8:E14)</f>
        <v>112993.33000000002</v>
      </c>
      <c r="F7" s="10">
        <f t="shared" si="10"/>
        <v>114853</v>
      </c>
      <c r="G7" s="10">
        <f t="shared" si="10"/>
        <v>112973.74</v>
      </c>
      <c r="H7" s="10">
        <f t="shared" si="10"/>
        <v>124010.93000000002</v>
      </c>
      <c r="I7" s="10">
        <f t="shared" si="10"/>
        <v>141046.94</v>
      </c>
      <c r="J7" s="10">
        <f t="shared" si="10"/>
        <v>121610.89000000001</v>
      </c>
      <c r="K7" s="10">
        <f t="shared" si="10"/>
        <v>134046.45000000001</v>
      </c>
      <c r="L7" s="10">
        <f t="shared" si="10"/>
        <v>131107.20000000001</v>
      </c>
      <c r="M7" s="10">
        <f t="shared" si="10"/>
        <v>124505.87</v>
      </c>
      <c r="N7" s="10">
        <f>SUM(B7:M7)</f>
        <v>1459100.3400000003</v>
      </c>
    </row>
    <row r="8" spans="1:18" ht="24.75" customHeight="1" thickBot="1" x14ac:dyDescent="0.3">
      <c r="A8" s="4" t="s">
        <v>27</v>
      </c>
      <c r="B8" s="11">
        <f>88011.48+15.8+1466.94</f>
        <v>89494.22</v>
      </c>
      <c r="C8" s="11">
        <f>88011.48+15.8+1466.94</f>
        <v>89494.22</v>
      </c>
      <c r="D8" s="11">
        <f>88011.48+15.8+1466.94</f>
        <v>89494.22</v>
      </c>
      <c r="E8" s="11">
        <f>88018.92+15.8+1467.07</f>
        <v>89501.790000000008</v>
      </c>
      <c r="F8" s="11">
        <f>88018.92+15.8+1467.07</f>
        <v>89501.790000000008</v>
      </c>
      <c r="G8" s="11">
        <f>88018.92+15.8+1467.07</f>
        <v>89501.790000000008</v>
      </c>
      <c r="H8" s="11">
        <f>105622.66+15.8+1467.07</f>
        <v>107105.53000000001</v>
      </c>
      <c r="I8" s="11">
        <f>105604.81+15.8+1466.82</f>
        <v>107087.43000000001</v>
      </c>
      <c r="J8" s="11">
        <f>105604.81+15.8+1466.82</f>
        <v>107087.43000000001</v>
      </c>
      <c r="K8" s="11">
        <f>105604.81+15.8+1466.82</f>
        <v>107087.43000000001</v>
      </c>
      <c r="L8" s="11">
        <f>105604.81+15.8+1466.82</f>
        <v>107087.43000000001</v>
      </c>
      <c r="M8" s="11">
        <f>105604.81+15.8+1466.82</f>
        <v>107087.43000000001</v>
      </c>
      <c r="N8" s="11">
        <f>SUM(B8:M8)</f>
        <v>1179530.7100000002</v>
      </c>
    </row>
    <row r="9" spans="1:18" ht="24.75" customHeight="1" thickBot="1" x14ac:dyDescent="0.3">
      <c r="A9" s="4" t="s">
        <v>17</v>
      </c>
      <c r="B9" s="11">
        <v>10137.25</v>
      </c>
      <c r="C9" s="11">
        <v>13764.11</v>
      </c>
      <c r="D9" s="11">
        <v>15122</v>
      </c>
      <c r="E9" s="11">
        <v>13933.91</v>
      </c>
      <c r="F9" s="11">
        <v>16242.34</v>
      </c>
      <c r="G9" s="11">
        <v>7671.84</v>
      </c>
      <c r="H9" s="11">
        <v>3022.96</v>
      </c>
      <c r="I9" s="11">
        <v>18802.169999999998</v>
      </c>
      <c r="J9" s="11">
        <v>6251.16</v>
      </c>
      <c r="K9" s="11">
        <v>17801.59</v>
      </c>
      <c r="L9" s="11">
        <v>8313.86</v>
      </c>
      <c r="M9" s="11">
        <v>8985.06</v>
      </c>
      <c r="N9" s="11">
        <f t="shared" ref="N9:N14" si="11">SUM(B9:M9)</f>
        <v>140048.25</v>
      </c>
    </row>
    <row r="10" spans="1:18" ht="21.75" customHeight="1" thickBot="1" x14ac:dyDescent="0.3">
      <c r="A10" s="4" t="s">
        <v>18</v>
      </c>
      <c r="B10" s="11">
        <v>308.63</v>
      </c>
      <c r="C10" s="11">
        <v>308.63</v>
      </c>
      <c r="D10" s="11">
        <v>308.63</v>
      </c>
      <c r="E10" s="11">
        <v>308.64</v>
      </c>
      <c r="F10" s="11">
        <v>308.64</v>
      </c>
      <c r="G10" s="11">
        <v>308.64</v>
      </c>
      <c r="H10" s="11">
        <v>308.64</v>
      </c>
      <c r="I10" s="11">
        <v>308.61</v>
      </c>
      <c r="J10" s="11">
        <v>308.61</v>
      </c>
      <c r="K10" s="11">
        <v>308.61</v>
      </c>
      <c r="L10" s="11">
        <v>308.61</v>
      </c>
      <c r="M10" s="11">
        <v>308.61</v>
      </c>
      <c r="N10" s="11">
        <f t="shared" si="11"/>
        <v>3703.5000000000005</v>
      </c>
    </row>
    <row r="11" spans="1:18" ht="22.5" customHeight="1" thickBot="1" x14ac:dyDescent="0.3">
      <c r="A11" s="4" t="s">
        <v>19</v>
      </c>
      <c r="B11" s="11">
        <v>561.08000000000004</v>
      </c>
      <c r="C11" s="11">
        <v>7139.94</v>
      </c>
      <c r="D11" s="11">
        <v>1927.81</v>
      </c>
      <c r="E11" s="11">
        <v>1285.19</v>
      </c>
      <c r="F11" s="11">
        <v>836.43</v>
      </c>
      <c r="G11" s="11">
        <v>7527.67</v>
      </c>
      <c r="H11" s="11">
        <v>5610</v>
      </c>
      <c r="I11" s="11">
        <v>6885.04</v>
      </c>
      <c r="J11" s="11">
        <v>0</v>
      </c>
      <c r="K11" s="11">
        <v>948.48</v>
      </c>
      <c r="L11" s="11">
        <v>7496.96</v>
      </c>
      <c r="M11" s="11">
        <v>224.43</v>
      </c>
      <c r="N11" s="11">
        <f t="shared" si="11"/>
        <v>40443.030000000006</v>
      </c>
    </row>
    <row r="12" spans="1:18" ht="22.5" customHeight="1" thickBot="1" x14ac:dyDescent="0.3">
      <c r="A12" s="4" t="s">
        <v>26</v>
      </c>
      <c r="B12" s="11">
        <v>595.4</v>
      </c>
      <c r="C12" s="11">
        <v>595.4</v>
      </c>
      <c r="D12" s="11">
        <v>595.4</v>
      </c>
      <c r="E12" s="11">
        <v>595.45000000000005</v>
      </c>
      <c r="F12" s="11">
        <v>595.45000000000005</v>
      </c>
      <c r="G12" s="11">
        <v>595.45000000000005</v>
      </c>
      <c r="H12" s="11">
        <v>595.45000000000005</v>
      </c>
      <c r="I12" s="11">
        <v>595.34</v>
      </c>
      <c r="J12" s="11">
        <v>595.34</v>
      </c>
      <c r="K12" s="11">
        <v>595.34</v>
      </c>
      <c r="L12" s="11">
        <v>595.34</v>
      </c>
      <c r="M12" s="11">
        <v>595.34</v>
      </c>
      <c r="N12" s="11">
        <f t="shared" si="11"/>
        <v>7144.7</v>
      </c>
    </row>
    <row r="13" spans="1:18" ht="22.5" customHeight="1" thickBot="1" x14ac:dyDescent="0.3">
      <c r="A13" s="4" t="s">
        <v>41</v>
      </c>
      <c r="B13" s="11">
        <v>6398.35</v>
      </c>
      <c r="C13" s="11">
        <v>6398.35</v>
      </c>
      <c r="D13" s="11">
        <v>6398.35</v>
      </c>
      <c r="E13" s="11">
        <v>6398.35</v>
      </c>
      <c r="F13" s="11">
        <v>6398.35</v>
      </c>
      <c r="G13" s="11">
        <v>6398.35</v>
      </c>
      <c r="H13" s="11">
        <v>6398.35</v>
      </c>
      <c r="I13" s="11">
        <v>6398.35</v>
      </c>
      <c r="J13" s="11">
        <v>6398.35</v>
      </c>
      <c r="K13" s="11">
        <v>6335</v>
      </c>
      <c r="L13" s="11">
        <v>6335</v>
      </c>
      <c r="M13" s="11">
        <v>6335</v>
      </c>
      <c r="N13" s="11">
        <f t="shared" si="11"/>
        <v>76590.149999999994</v>
      </c>
    </row>
    <row r="14" spans="1:18" ht="24" customHeight="1" thickBot="1" x14ac:dyDescent="0.3">
      <c r="A14" s="4" t="s">
        <v>15</v>
      </c>
      <c r="B14" s="11">
        <v>970</v>
      </c>
      <c r="C14" s="11">
        <v>970</v>
      </c>
      <c r="D14" s="11">
        <v>970</v>
      </c>
      <c r="E14" s="11">
        <v>970</v>
      </c>
      <c r="F14" s="11">
        <v>970</v>
      </c>
      <c r="G14" s="11">
        <v>970</v>
      </c>
      <c r="H14" s="11">
        <v>970</v>
      </c>
      <c r="I14" s="11">
        <v>970</v>
      </c>
      <c r="J14" s="11">
        <v>970</v>
      </c>
      <c r="K14" s="11">
        <v>970</v>
      </c>
      <c r="L14" s="11">
        <v>970</v>
      </c>
      <c r="M14" s="11">
        <v>970</v>
      </c>
      <c r="N14" s="11">
        <f t="shared" si="11"/>
        <v>11640</v>
      </c>
    </row>
    <row r="15" spans="1:18" ht="20.25" customHeight="1" thickBot="1" x14ac:dyDescent="0.3">
      <c r="A15" s="12" t="s">
        <v>8</v>
      </c>
      <c r="B15" s="13">
        <f>SUM(B16:B22)</f>
        <v>102053.44000000002</v>
      </c>
      <c r="C15" s="13">
        <f>SUM(C16:C22)</f>
        <v>96950.51</v>
      </c>
      <c r="D15" s="13">
        <f>SUM(D16:D22)</f>
        <v>125718.52</v>
      </c>
      <c r="E15" s="13">
        <f t="shared" ref="E15:M15" si="12">SUM(E16:E22)</f>
        <v>114948.19</v>
      </c>
      <c r="F15" s="13">
        <f t="shared" si="12"/>
        <v>101961.63000000002</v>
      </c>
      <c r="G15" s="13">
        <f t="shared" si="12"/>
        <v>180243.60000000003</v>
      </c>
      <c r="H15" s="13">
        <f t="shared" si="12"/>
        <v>110332.99</v>
      </c>
      <c r="I15" s="13">
        <f t="shared" si="12"/>
        <v>107542.76</v>
      </c>
      <c r="J15" s="13">
        <f t="shared" si="12"/>
        <v>123459.53</v>
      </c>
      <c r="K15" s="13">
        <f t="shared" si="12"/>
        <v>137382.29999999999</v>
      </c>
      <c r="L15" s="13">
        <f t="shared" si="12"/>
        <v>123860.29999999999</v>
      </c>
      <c r="M15" s="13">
        <f t="shared" si="12"/>
        <v>151272.62</v>
      </c>
      <c r="N15" s="13">
        <f>SUM(B15:M15)</f>
        <v>1475726.3900000001</v>
      </c>
    </row>
    <row r="16" spans="1:18" ht="24" customHeight="1" thickBot="1" x14ac:dyDescent="0.3">
      <c r="A16" s="4" t="s">
        <v>27</v>
      </c>
      <c r="B16" s="11">
        <f>81358.71+31.6+1342.41</f>
        <v>82732.720000000016</v>
      </c>
      <c r="C16" s="11">
        <f>75700.07+215.8+1306.06</f>
        <v>77221.930000000008</v>
      </c>
      <c r="D16" s="11">
        <f>92782.22+115.8+1506.09</f>
        <v>94404.11</v>
      </c>
      <c r="E16" s="11">
        <f>85791.95+15.8+1440.44</f>
        <v>87248.19</v>
      </c>
      <c r="F16" s="11">
        <f>80152.06+133.63+1202.28</f>
        <v>81487.97</v>
      </c>
      <c r="G16" s="11">
        <f>142919.17+790.92+1639.57</f>
        <v>145349.66000000003</v>
      </c>
      <c r="H16" s="11">
        <f>86692.45+15.8+1412.94</f>
        <v>88121.19</v>
      </c>
      <c r="I16" s="11">
        <f>91667.03+15.8+1295.01</f>
        <v>92977.84</v>
      </c>
      <c r="J16" s="11">
        <f>93293.54+15.8+1315.5</f>
        <v>94624.84</v>
      </c>
      <c r="K16" s="11">
        <f>117130.69+330.8+1755.37</f>
        <v>119216.86</v>
      </c>
      <c r="L16" s="11">
        <f>98805.17+15.8+1334.37</f>
        <v>100155.34</v>
      </c>
      <c r="M16" s="11">
        <f>124932.18+15.8+1394.32</f>
        <v>126342.3</v>
      </c>
      <c r="N16" s="11">
        <f>SUM(B16:M16)</f>
        <v>1189882.95</v>
      </c>
    </row>
    <row r="17" spans="1:15" ht="26.25" customHeight="1" thickBot="1" x14ac:dyDescent="0.3">
      <c r="A17" s="4" t="s">
        <v>17</v>
      </c>
      <c r="B17" s="11">
        <v>8033.82</v>
      </c>
      <c r="C17" s="11">
        <v>8577.5300000000007</v>
      </c>
      <c r="D17" s="11">
        <v>12969.55</v>
      </c>
      <c r="E17" s="11">
        <v>14330.31</v>
      </c>
      <c r="F17" s="11">
        <v>11686.07</v>
      </c>
      <c r="G17" s="11">
        <v>18239.439999999999</v>
      </c>
      <c r="H17" s="11">
        <v>8090.76</v>
      </c>
      <c r="I17" s="11">
        <v>2751.54</v>
      </c>
      <c r="J17" s="11">
        <v>15924.23</v>
      </c>
      <c r="K17" s="11">
        <v>8338.84</v>
      </c>
      <c r="L17" s="11">
        <v>15665.47</v>
      </c>
      <c r="M17" s="11">
        <v>9852.83</v>
      </c>
      <c r="N17" s="11">
        <f t="shared" ref="N17:N22" si="13">SUM(B17:M17)</f>
        <v>134460.38999999998</v>
      </c>
    </row>
    <row r="18" spans="1:15" ht="26.25" customHeight="1" thickBot="1" x14ac:dyDescent="0.3">
      <c r="A18" s="4" t="s">
        <v>18</v>
      </c>
      <c r="B18" s="11">
        <v>5.17</v>
      </c>
      <c r="C18" s="11">
        <v>7.18</v>
      </c>
      <c r="D18" s="11">
        <v>7.14</v>
      </c>
      <c r="E18" s="11">
        <v>7</v>
      </c>
      <c r="F18" s="11">
        <v>10.49</v>
      </c>
      <c r="G18" s="11">
        <v>85.53</v>
      </c>
      <c r="H18" s="11">
        <v>9.9</v>
      </c>
      <c r="I18" s="11">
        <v>9.9</v>
      </c>
      <c r="J18" s="11">
        <v>7.52</v>
      </c>
      <c r="K18" s="11">
        <v>13.27</v>
      </c>
      <c r="L18" s="11">
        <v>7</v>
      </c>
      <c r="M18" s="11">
        <v>18.649999999999999</v>
      </c>
      <c r="N18" s="11">
        <f t="shared" si="13"/>
        <v>188.75000000000003</v>
      </c>
    </row>
    <row r="19" spans="1:15" ht="24" customHeight="1" thickBot="1" x14ac:dyDescent="0.3">
      <c r="A19" s="4" t="s">
        <v>19</v>
      </c>
      <c r="B19" s="11">
        <v>4250.93</v>
      </c>
      <c r="C19" s="11">
        <v>620.77</v>
      </c>
      <c r="D19" s="11">
        <v>7131.26</v>
      </c>
      <c r="E19" s="11">
        <v>2185.0500000000002</v>
      </c>
      <c r="F19" s="11">
        <v>1408.87</v>
      </c>
      <c r="G19" s="11">
        <v>3384.07</v>
      </c>
      <c r="H19" s="11">
        <v>6719.99</v>
      </c>
      <c r="I19" s="11">
        <v>4919.58</v>
      </c>
      <c r="J19" s="11">
        <v>5945.11</v>
      </c>
      <c r="K19" s="11">
        <v>1299.73</v>
      </c>
      <c r="L19" s="11">
        <v>1173.4000000000001</v>
      </c>
      <c r="M19" s="11">
        <v>7605.86</v>
      </c>
      <c r="N19" s="11">
        <f t="shared" si="13"/>
        <v>46644.62000000001</v>
      </c>
    </row>
    <row r="20" spans="1:15" ht="24" customHeight="1" thickBot="1" x14ac:dyDescent="0.3">
      <c r="A20" s="4" t="s">
        <v>26</v>
      </c>
      <c r="B20" s="11">
        <v>539.25</v>
      </c>
      <c r="C20" s="11">
        <v>511.65</v>
      </c>
      <c r="D20" s="11">
        <v>680.96</v>
      </c>
      <c r="E20" s="11">
        <v>579.09</v>
      </c>
      <c r="F20" s="11">
        <v>539.88</v>
      </c>
      <c r="G20" s="11">
        <v>928.33</v>
      </c>
      <c r="H20" s="11">
        <v>582.79999999999995</v>
      </c>
      <c r="I20" s="11">
        <v>519.1</v>
      </c>
      <c r="J20" s="11">
        <v>529.63</v>
      </c>
      <c r="K20" s="11">
        <v>678</v>
      </c>
      <c r="L20" s="11">
        <v>557.59</v>
      </c>
      <c r="M20" s="11">
        <v>707.95</v>
      </c>
      <c r="N20" s="11">
        <f t="shared" si="13"/>
        <v>7354.2300000000005</v>
      </c>
    </row>
    <row r="21" spans="1:15" ht="24" customHeight="1" thickBot="1" x14ac:dyDescent="0.3">
      <c r="A21" s="4" t="s">
        <v>41</v>
      </c>
      <c r="B21" s="11">
        <v>5891.55</v>
      </c>
      <c r="C21" s="11">
        <v>6111.45</v>
      </c>
      <c r="D21" s="11">
        <v>6625.5</v>
      </c>
      <c r="E21" s="11">
        <v>6398.55</v>
      </c>
      <c r="F21" s="11">
        <v>5948.35</v>
      </c>
      <c r="G21" s="11">
        <v>10756.57</v>
      </c>
      <c r="H21" s="11">
        <v>6208.35</v>
      </c>
      <c r="I21" s="11">
        <v>5764.8</v>
      </c>
      <c r="J21" s="11">
        <v>5828.2</v>
      </c>
      <c r="K21" s="11">
        <v>7235.6</v>
      </c>
      <c r="L21" s="11">
        <v>5701.5</v>
      </c>
      <c r="M21" s="11">
        <v>6145.03</v>
      </c>
      <c r="N21" s="11">
        <f t="shared" si="13"/>
        <v>78615.45</v>
      </c>
    </row>
    <row r="22" spans="1:15" ht="21" customHeight="1" thickBot="1" x14ac:dyDescent="0.3">
      <c r="A22" s="4" t="s">
        <v>15</v>
      </c>
      <c r="B22" s="14">
        <v>600</v>
      </c>
      <c r="C22" s="14">
        <v>3900</v>
      </c>
      <c r="D22" s="14">
        <v>3900</v>
      </c>
      <c r="E22" s="14">
        <v>4200</v>
      </c>
      <c r="F22" s="14">
        <v>880</v>
      </c>
      <c r="G22" s="14">
        <v>1500</v>
      </c>
      <c r="H22" s="14">
        <v>600</v>
      </c>
      <c r="I22" s="14">
        <v>600</v>
      </c>
      <c r="J22" s="14">
        <v>600</v>
      </c>
      <c r="K22" s="14">
        <v>600</v>
      </c>
      <c r="L22" s="14">
        <v>600</v>
      </c>
      <c r="M22" s="14">
        <v>600</v>
      </c>
      <c r="N22" s="11">
        <f t="shared" si="13"/>
        <v>18580</v>
      </c>
      <c r="O22" s="3"/>
    </row>
    <row r="23" spans="1:15" ht="21.75" customHeight="1" thickBot="1" x14ac:dyDescent="0.3">
      <c r="A23" s="15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4732.6*0.6</f>
        <v>2839.56</v>
      </c>
      <c r="C24" s="11">
        <f t="shared" ref="C24:M24" si="14">4732.6*0.6</f>
        <v>2839.56</v>
      </c>
      <c r="D24" s="11">
        <f t="shared" si="14"/>
        <v>2839.56</v>
      </c>
      <c r="E24" s="11">
        <f t="shared" si="14"/>
        <v>2839.56</v>
      </c>
      <c r="F24" s="11">
        <f t="shared" si="14"/>
        <v>2839.56</v>
      </c>
      <c r="G24" s="11">
        <f t="shared" si="14"/>
        <v>2839.56</v>
      </c>
      <c r="H24" s="11">
        <f t="shared" si="14"/>
        <v>2839.56</v>
      </c>
      <c r="I24" s="11">
        <f t="shared" si="14"/>
        <v>2839.56</v>
      </c>
      <c r="J24" s="11">
        <f t="shared" si="14"/>
        <v>2839.56</v>
      </c>
      <c r="K24" s="11">
        <f t="shared" si="14"/>
        <v>2839.56</v>
      </c>
      <c r="L24" s="11">
        <f t="shared" si="14"/>
        <v>2839.56</v>
      </c>
      <c r="M24" s="11">
        <f t="shared" si="14"/>
        <v>2839.56</v>
      </c>
      <c r="N24" s="11">
        <f>SUM(B24:M24)</f>
        <v>34074.720000000008</v>
      </c>
    </row>
    <row r="25" spans="1:15" ht="22.5" customHeight="1" thickBot="1" x14ac:dyDescent="0.3">
      <c r="A25" s="4" t="s">
        <v>2</v>
      </c>
      <c r="B25" s="11">
        <f t="shared" ref="B25:M25" si="15">4732.6*0.17</f>
        <v>804.54200000000014</v>
      </c>
      <c r="C25" s="11">
        <f t="shared" si="15"/>
        <v>804.54200000000014</v>
      </c>
      <c r="D25" s="11">
        <f t="shared" si="15"/>
        <v>804.54200000000014</v>
      </c>
      <c r="E25" s="11">
        <f t="shared" si="15"/>
        <v>804.54200000000014</v>
      </c>
      <c r="F25" s="11">
        <f t="shared" si="15"/>
        <v>804.54200000000014</v>
      </c>
      <c r="G25" s="11">
        <f t="shared" si="15"/>
        <v>804.54200000000014</v>
      </c>
      <c r="H25" s="11">
        <f t="shared" si="15"/>
        <v>804.54200000000014</v>
      </c>
      <c r="I25" s="11">
        <f t="shared" si="15"/>
        <v>804.54200000000014</v>
      </c>
      <c r="J25" s="11">
        <f t="shared" si="15"/>
        <v>804.54200000000014</v>
      </c>
      <c r="K25" s="11">
        <f t="shared" si="15"/>
        <v>804.54200000000014</v>
      </c>
      <c r="L25" s="11">
        <f t="shared" si="15"/>
        <v>804.54200000000014</v>
      </c>
      <c r="M25" s="11">
        <f t="shared" si="15"/>
        <v>804.54200000000014</v>
      </c>
      <c r="N25" s="11">
        <f t="shared" ref="N25:N37" si="16">SUM(B25:M25)</f>
        <v>9654.5040000000026</v>
      </c>
    </row>
    <row r="26" spans="1:15" ht="21" customHeight="1" thickBot="1" x14ac:dyDescent="0.3">
      <c r="A26" s="4" t="s">
        <v>3</v>
      </c>
      <c r="B26" s="11">
        <f>107494.93*2.3%</f>
        <v>2472.38339</v>
      </c>
      <c r="C26" s="11">
        <f>117700.65*2.3%</f>
        <v>2707.1149499999997</v>
      </c>
      <c r="D26" s="11">
        <f>113846.41*2.3%</f>
        <v>2618.4674300000001</v>
      </c>
      <c r="E26" s="11">
        <f>112023.33*2.3%</f>
        <v>2576.5365900000002</v>
      </c>
      <c r="F26" s="11">
        <f>113883*2.3%</f>
        <v>2619.3089999999997</v>
      </c>
      <c r="G26" s="11">
        <f>112003.74*2.3%</f>
        <v>2576.0860200000002</v>
      </c>
      <c r="H26" s="11">
        <f>123040.93*2.3%</f>
        <v>2829.94139</v>
      </c>
      <c r="I26" s="11">
        <f>140076.94*2.3%</f>
        <v>3221.76962</v>
      </c>
      <c r="J26" s="11">
        <f>120640.89*2.3%</f>
        <v>2774.7404699999997</v>
      </c>
      <c r="K26" s="11">
        <f>133076.45*2.3%</f>
        <v>3060.7583500000001</v>
      </c>
      <c r="L26" s="11">
        <f>130137.2*2.3%</f>
        <v>2993.1556</v>
      </c>
      <c r="M26" s="11">
        <f>123535.87*2.3%</f>
        <v>2841.32501</v>
      </c>
      <c r="N26" s="11">
        <f t="shared" si="16"/>
        <v>33291.587820000001</v>
      </c>
    </row>
    <row r="27" spans="1:15" ht="23.25" customHeight="1" thickBot="1" x14ac:dyDescent="0.3">
      <c r="A27" s="4" t="s">
        <v>4</v>
      </c>
      <c r="B27" s="11">
        <f>101453.44*3%</f>
        <v>3043.6032</v>
      </c>
      <c r="C27" s="11">
        <f>93050.51*3%</f>
        <v>2791.5152999999996</v>
      </c>
      <c r="D27" s="11">
        <f>121818.52*3%</f>
        <v>3654.5556000000001</v>
      </c>
      <c r="E27" s="11">
        <f>110748.19*3%</f>
        <v>3322.4456999999998</v>
      </c>
      <c r="F27" s="11">
        <f>101081.63*3%</f>
        <v>3032.4488999999999</v>
      </c>
      <c r="G27" s="11">
        <f>178743.6*3%</f>
        <v>5362.308</v>
      </c>
      <c r="H27" s="11">
        <f>109732.99*3%</f>
        <v>3291.9897000000001</v>
      </c>
      <c r="I27" s="11">
        <f>106942.76*3%</f>
        <v>3208.2827999999995</v>
      </c>
      <c r="J27" s="11">
        <f>122859.53*3%</f>
        <v>3685.7858999999999</v>
      </c>
      <c r="K27" s="11">
        <f>136782.3*3%</f>
        <v>4103.4689999999991</v>
      </c>
      <c r="L27" s="11">
        <f>123260.3*3%</f>
        <v>3697.8089999999997</v>
      </c>
      <c r="M27" s="11">
        <f>150672.62*3%</f>
        <v>4520.1785999999993</v>
      </c>
      <c r="N27" s="11">
        <f t="shared" si="16"/>
        <v>43714.3917</v>
      </c>
    </row>
    <row r="28" spans="1:15" ht="23.25" customHeight="1" thickBot="1" x14ac:dyDescent="0.3">
      <c r="A28" s="4" t="s">
        <v>9</v>
      </c>
      <c r="B28" s="24">
        <f t="shared" ref="B28:M28" si="17">4732.6*9.7</f>
        <v>45906.22</v>
      </c>
      <c r="C28" s="24">
        <f t="shared" si="17"/>
        <v>45906.22</v>
      </c>
      <c r="D28" s="24">
        <f t="shared" si="17"/>
        <v>45906.22</v>
      </c>
      <c r="E28" s="24">
        <f t="shared" si="17"/>
        <v>45906.22</v>
      </c>
      <c r="F28" s="24">
        <f t="shared" si="17"/>
        <v>45906.22</v>
      </c>
      <c r="G28" s="24">
        <f t="shared" si="17"/>
        <v>45906.22</v>
      </c>
      <c r="H28" s="24">
        <f t="shared" si="17"/>
        <v>45906.22</v>
      </c>
      <c r="I28" s="24">
        <f t="shared" si="17"/>
        <v>45906.22</v>
      </c>
      <c r="J28" s="24">
        <f t="shared" si="17"/>
        <v>45906.22</v>
      </c>
      <c r="K28" s="24">
        <f t="shared" si="17"/>
        <v>45906.22</v>
      </c>
      <c r="L28" s="24">
        <f t="shared" si="17"/>
        <v>45906.22</v>
      </c>
      <c r="M28" s="24">
        <f t="shared" si="17"/>
        <v>45906.22</v>
      </c>
      <c r="N28" s="11">
        <f t="shared" si="16"/>
        <v>550874.6399999999</v>
      </c>
    </row>
    <row r="29" spans="1:15" ht="26.25" customHeight="1" thickBot="1" x14ac:dyDescent="0.3">
      <c r="A29" s="4" t="s">
        <v>20</v>
      </c>
      <c r="B29" s="11">
        <f>13764.09+0</f>
        <v>13764.09</v>
      </c>
      <c r="C29" s="11">
        <f>15122.09+0.03</f>
        <v>15122.12</v>
      </c>
      <c r="D29" s="11">
        <f>13933.92+0</f>
        <v>13933.92</v>
      </c>
      <c r="E29" s="11">
        <f>16242.33+0.01</f>
        <v>16242.34</v>
      </c>
      <c r="F29" s="11">
        <f>6865.06+806.75</f>
        <v>7671.81</v>
      </c>
      <c r="G29" s="11">
        <f>2681.82+341.17</f>
        <v>3022.9900000000002</v>
      </c>
      <c r="H29" s="11">
        <f>16680.35+2121.95</f>
        <v>18802.3</v>
      </c>
      <c r="I29" s="11">
        <f>5545.68+705.48</f>
        <v>6251.16</v>
      </c>
      <c r="J29" s="11">
        <f>15792.55+2009.01</f>
        <v>17801.559999999998</v>
      </c>
      <c r="K29" s="11">
        <f>7375.45+938.38</f>
        <v>8313.83</v>
      </c>
      <c r="L29" s="11">
        <f>7971.09+1013.95</f>
        <v>8985.0400000000009</v>
      </c>
      <c r="M29" s="11">
        <f>5760.59+732.94</f>
        <v>6493.5300000000007</v>
      </c>
      <c r="N29" s="11">
        <f t="shared" si="16"/>
        <v>136404.69</v>
      </c>
    </row>
    <row r="30" spans="1:15" ht="26.25" customHeight="1" thickBot="1" x14ac:dyDescent="0.3">
      <c r="A30" s="4" t="s">
        <v>21</v>
      </c>
      <c r="B30" s="11">
        <v>462.95</v>
      </c>
      <c r="C30" s="11">
        <v>462.95</v>
      </c>
      <c r="D30" s="11">
        <v>462.95</v>
      </c>
      <c r="E30" s="11">
        <v>462.95</v>
      </c>
      <c r="F30" s="11">
        <v>462.95</v>
      </c>
      <c r="G30" s="11">
        <v>462.95</v>
      </c>
      <c r="H30" s="11">
        <v>462.95</v>
      </c>
      <c r="I30" s="11">
        <v>462.95</v>
      </c>
      <c r="J30" s="11">
        <v>462.95</v>
      </c>
      <c r="K30" s="11">
        <v>462.95</v>
      </c>
      <c r="L30" s="11">
        <v>462.95</v>
      </c>
      <c r="M30" s="11">
        <v>462.95</v>
      </c>
      <c r="N30" s="11">
        <f t="shared" si="16"/>
        <v>5555.3999999999987</v>
      </c>
    </row>
    <row r="31" spans="1:15" ht="26.25" customHeight="1" thickBot="1" x14ac:dyDescent="0.3">
      <c r="A31" s="4" t="s">
        <v>22</v>
      </c>
      <c r="B31" s="11">
        <v>7140</v>
      </c>
      <c r="C31" s="11">
        <v>1927.8</v>
      </c>
      <c r="D31" s="11">
        <v>1285.2</v>
      </c>
      <c r="E31" s="11">
        <v>836.4</v>
      </c>
      <c r="F31" s="11">
        <v>7527.6</v>
      </c>
      <c r="G31" s="11">
        <v>5610</v>
      </c>
      <c r="H31" s="11">
        <v>6885</v>
      </c>
      <c r="I31" s="11">
        <v>0</v>
      </c>
      <c r="J31" s="11">
        <v>948.6</v>
      </c>
      <c r="K31" s="11">
        <v>7497</v>
      </c>
      <c r="L31" s="11">
        <v>224.4</v>
      </c>
      <c r="M31" s="11">
        <v>4671.6000000000004</v>
      </c>
      <c r="N31" s="11">
        <f t="shared" si="16"/>
        <v>44553.599999999999</v>
      </c>
    </row>
    <row r="32" spans="1:15" ht="26.25" customHeight="1" thickBot="1" x14ac:dyDescent="0.3">
      <c r="A32" s="4" t="s">
        <v>26</v>
      </c>
      <c r="B32" s="11">
        <v>595.54</v>
      </c>
      <c r="C32" s="11">
        <v>595.54</v>
      </c>
      <c r="D32" s="11">
        <v>595.54</v>
      </c>
      <c r="E32" s="11">
        <v>595.54</v>
      </c>
      <c r="F32" s="11">
        <v>595.54</v>
      </c>
      <c r="G32" s="11">
        <v>595.54</v>
      </c>
      <c r="H32" s="11">
        <v>595.54</v>
      </c>
      <c r="I32" s="11">
        <v>595.54</v>
      </c>
      <c r="J32" s="11">
        <v>595.54</v>
      </c>
      <c r="K32" s="11">
        <v>595.54</v>
      </c>
      <c r="L32" s="11">
        <v>595.54</v>
      </c>
      <c r="M32" s="11">
        <v>595.54</v>
      </c>
      <c r="N32" s="11">
        <f t="shared" si="16"/>
        <v>7146.48</v>
      </c>
    </row>
    <row r="33" spans="1:14" ht="22.5" customHeight="1" thickBot="1" x14ac:dyDescent="0.3">
      <c r="A33" s="4" t="s">
        <v>6</v>
      </c>
      <c r="B33" s="24">
        <f t="shared" ref="B33:G33" si="18">4732.6*2.79</f>
        <v>13203.954000000002</v>
      </c>
      <c r="C33" s="24">
        <f t="shared" si="18"/>
        <v>13203.954000000002</v>
      </c>
      <c r="D33" s="24">
        <f t="shared" si="18"/>
        <v>13203.954000000002</v>
      </c>
      <c r="E33" s="24">
        <f t="shared" si="18"/>
        <v>13203.954000000002</v>
      </c>
      <c r="F33" s="24">
        <f t="shared" si="18"/>
        <v>13203.954000000002</v>
      </c>
      <c r="G33" s="24">
        <f t="shared" si="18"/>
        <v>13203.954000000002</v>
      </c>
      <c r="H33" s="24">
        <f>4731.8*3.35</f>
        <v>15851.53</v>
      </c>
      <c r="I33" s="24">
        <f t="shared" ref="I33:M33" si="19">4731.8*3.35</f>
        <v>15851.53</v>
      </c>
      <c r="J33" s="24">
        <f t="shared" si="19"/>
        <v>15851.53</v>
      </c>
      <c r="K33" s="24">
        <f t="shared" si="19"/>
        <v>15851.53</v>
      </c>
      <c r="L33" s="24">
        <f t="shared" si="19"/>
        <v>15851.53</v>
      </c>
      <c r="M33" s="24">
        <f t="shared" si="19"/>
        <v>15851.53</v>
      </c>
      <c r="N33" s="11">
        <f t="shared" si="16"/>
        <v>174332.90400000001</v>
      </c>
    </row>
    <row r="34" spans="1:14" ht="22.5" customHeight="1" thickBot="1" x14ac:dyDescent="0.3">
      <c r="A34" s="4" t="s">
        <v>25</v>
      </c>
      <c r="B34" s="11">
        <v>900</v>
      </c>
      <c r="C34" s="11">
        <v>900</v>
      </c>
      <c r="D34" s="11">
        <v>900</v>
      </c>
      <c r="E34" s="11">
        <v>900</v>
      </c>
      <c r="F34" s="11">
        <v>900</v>
      </c>
      <c r="G34" s="11">
        <v>900</v>
      </c>
      <c r="H34" s="11">
        <v>900</v>
      </c>
      <c r="I34" s="11">
        <v>900</v>
      </c>
      <c r="J34" s="11">
        <v>900</v>
      </c>
      <c r="K34" s="11">
        <v>900</v>
      </c>
      <c r="L34" s="11">
        <v>900</v>
      </c>
      <c r="M34" s="11">
        <v>900</v>
      </c>
      <c r="N34" s="11">
        <f t="shared" si="16"/>
        <v>10800</v>
      </c>
    </row>
    <row r="35" spans="1:14" ht="21.75" customHeight="1" thickBot="1" x14ac:dyDescent="0.3">
      <c r="A35" s="4" t="s">
        <v>41</v>
      </c>
      <c r="B35" s="11">
        <v>5460</v>
      </c>
      <c r="C35" s="11">
        <v>5725</v>
      </c>
      <c r="D35" s="11">
        <v>6520</v>
      </c>
      <c r="E35" s="11">
        <v>5640</v>
      </c>
      <c r="F35" s="11">
        <v>5930</v>
      </c>
      <c r="G35" s="11">
        <v>10245</v>
      </c>
      <c r="H35" s="11">
        <v>5940</v>
      </c>
      <c r="I35" s="11">
        <v>5460</v>
      </c>
      <c r="J35" s="11">
        <v>5580</v>
      </c>
      <c r="K35" s="11">
        <v>6610</v>
      </c>
      <c r="L35" s="11">
        <v>5100</v>
      </c>
      <c r="M35" s="11">
        <v>6120</v>
      </c>
      <c r="N35" s="11">
        <f t="shared" si="16"/>
        <v>74330</v>
      </c>
    </row>
    <row r="36" spans="1:14" ht="24.75" customHeight="1" thickBot="1" x14ac:dyDescent="0.3">
      <c r="A36" s="4" t="s">
        <v>14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20103.98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 t="shared" si="16"/>
        <v>20103.98</v>
      </c>
    </row>
    <row r="37" spans="1:14" ht="24" customHeight="1" thickBot="1" x14ac:dyDescent="0.3">
      <c r="A37" s="4" t="s">
        <v>10</v>
      </c>
      <c r="B37" s="11">
        <f>4784.8+543.5</f>
        <v>5328.3</v>
      </c>
      <c r="C37" s="11">
        <f>105+819.4+1367.2</f>
        <v>2291.6</v>
      </c>
      <c r="D37" s="11">
        <f>4478+2500+79814+22861.31+1590.2+1213.5+881.2+807.9+870.61+1806.29+1350.4+35157.81</f>
        <v>153331.21999999997</v>
      </c>
      <c r="E37" s="11">
        <f>1504+1683.9+25406.13+699.9+79224</f>
        <v>108517.93000000001</v>
      </c>
      <c r="F37" s="11">
        <f>6013.7+3407.9+90000</f>
        <v>99421.6</v>
      </c>
      <c r="G37" s="11">
        <f>2719.3+4117.4</f>
        <v>6836.7</v>
      </c>
      <c r="H37" s="11">
        <f>5409.1+1442.5+1892.4+32000</f>
        <v>40744</v>
      </c>
      <c r="I37" s="11">
        <f>2300+5451.1+4405.2+14764.6+837.9</f>
        <v>27758.800000000003</v>
      </c>
      <c r="J37" s="11">
        <v>0</v>
      </c>
      <c r="K37" s="11">
        <f>12969.6+3476.8</f>
        <v>16446.400000000001</v>
      </c>
      <c r="L37" s="11">
        <v>0</v>
      </c>
      <c r="M37" s="11">
        <f>889.3+105+105+862.5+862.5</f>
        <v>2824.3</v>
      </c>
      <c r="N37" s="11">
        <f t="shared" si="16"/>
        <v>463500.85000000003</v>
      </c>
    </row>
    <row r="38" spans="1:14" ht="22.5" customHeight="1" thickBot="1" x14ac:dyDescent="0.3">
      <c r="A38" s="9" t="s">
        <v>23</v>
      </c>
      <c r="B38" s="10">
        <f t="shared" ref="B38:M38" si="20">SUM(B24:B37)</f>
        <v>101921.14258999999</v>
      </c>
      <c r="C38" s="10">
        <f t="shared" si="20"/>
        <v>95277.916249999995</v>
      </c>
      <c r="D38" s="10">
        <f t="shared" si="20"/>
        <v>246056.12902999995</v>
      </c>
      <c r="E38" s="10">
        <f t="shared" si="20"/>
        <v>201848.41829</v>
      </c>
      <c r="F38" s="10">
        <f t="shared" si="20"/>
        <v>190915.53389999998</v>
      </c>
      <c r="G38" s="10">
        <f t="shared" si="20"/>
        <v>98365.850019999983</v>
      </c>
      <c r="H38" s="10">
        <f t="shared" si="20"/>
        <v>165957.55309</v>
      </c>
      <c r="I38" s="10">
        <f t="shared" si="20"/>
        <v>113260.35442</v>
      </c>
      <c r="J38" s="10">
        <f t="shared" si="20"/>
        <v>98151.028369999985</v>
      </c>
      <c r="K38" s="10">
        <f t="shared" si="20"/>
        <v>113391.79934999999</v>
      </c>
      <c r="L38" s="10">
        <f t="shared" si="20"/>
        <v>88360.746599999984</v>
      </c>
      <c r="M38" s="10">
        <f t="shared" si="20"/>
        <v>94831.275609999997</v>
      </c>
      <c r="N38" s="10">
        <f>SUM(B38:M38)</f>
        <v>1608337.7475199997</v>
      </c>
    </row>
    <row r="39" spans="1:14" ht="23.25" customHeight="1" thickBot="1" x14ac:dyDescent="0.3">
      <c r="A39" s="4" t="s">
        <v>5</v>
      </c>
      <c r="B39" s="18">
        <f t="shared" ref="B39:N39" si="21">B15-B38</f>
        <v>132.29741000002832</v>
      </c>
      <c r="C39" s="18">
        <f t="shared" si="21"/>
        <v>1672.59375</v>
      </c>
      <c r="D39" s="18">
        <f t="shared" si="21"/>
        <v>-120337.60902999995</v>
      </c>
      <c r="E39" s="18">
        <f t="shared" si="21"/>
        <v>-86900.228289999999</v>
      </c>
      <c r="F39" s="18">
        <f t="shared" si="21"/>
        <v>-88953.903899999961</v>
      </c>
      <c r="G39" s="18">
        <f t="shared" si="21"/>
        <v>81877.749980000051</v>
      </c>
      <c r="H39" s="18">
        <f t="shared" si="21"/>
        <v>-55624.563089999996</v>
      </c>
      <c r="I39" s="18">
        <f t="shared" si="21"/>
        <v>-5717.5944200000085</v>
      </c>
      <c r="J39" s="18">
        <f t="shared" si="21"/>
        <v>25308.501630000013</v>
      </c>
      <c r="K39" s="18">
        <f t="shared" si="21"/>
        <v>23990.500650000002</v>
      </c>
      <c r="L39" s="18">
        <f t="shared" si="21"/>
        <v>35499.553400000004</v>
      </c>
      <c r="M39" s="18">
        <f t="shared" si="21"/>
        <v>56441.344389999998</v>
      </c>
      <c r="N39" s="11">
        <f t="shared" si="21"/>
        <v>-132611.35751999961</v>
      </c>
    </row>
    <row r="40" spans="1:14" ht="23.25" customHeight="1" thickBot="1" x14ac:dyDescent="0.3">
      <c r="A40" s="4" t="s">
        <v>7</v>
      </c>
      <c r="B40" s="14">
        <f>B5+B39</f>
        <v>-591230.93258999998</v>
      </c>
      <c r="C40" s="19">
        <f>B40+C39</f>
        <v>-589558.33883999998</v>
      </c>
      <c r="D40" s="19">
        <f t="shared" ref="D40:M40" si="22">C40+D39</f>
        <v>-709895.94786999992</v>
      </c>
      <c r="E40" s="19">
        <f t="shared" si="22"/>
        <v>-796796.17615999992</v>
      </c>
      <c r="F40" s="19">
        <f t="shared" si="22"/>
        <v>-885750.08005999983</v>
      </c>
      <c r="G40" s="19">
        <f t="shared" si="22"/>
        <v>-803872.33007999975</v>
      </c>
      <c r="H40" s="19">
        <f t="shared" si="22"/>
        <v>-859496.8931699997</v>
      </c>
      <c r="I40" s="19">
        <f t="shared" si="22"/>
        <v>-865214.48758999968</v>
      </c>
      <c r="J40" s="14">
        <f t="shared" si="22"/>
        <v>-839905.98595999973</v>
      </c>
      <c r="K40" s="19">
        <f t="shared" si="22"/>
        <v>-815915.48530999967</v>
      </c>
      <c r="L40" s="19">
        <f t="shared" si="22"/>
        <v>-780415.93190999969</v>
      </c>
      <c r="M40" s="19">
        <f t="shared" si="22"/>
        <v>-723974.58751999971</v>
      </c>
      <c r="N40" s="21">
        <f>N5+N39</f>
        <v>-723974.58751999959</v>
      </c>
    </row>
    <row r="41" spans="1:14" ht="27" customHeight="1" thickBot="1" x14ac:dyDescent="0.3">
      <c r="A41" s="15" t="s">
        <v>11</v>
      </c>
      <c r="B41" s="20">
        <f>B6+B15-B7</f>
        <v>-267796.8</v>
      </c>
      <c r="C41" s="20">
        <f>C6+C15-C7</f>
        <v>-289516.94</v>
      </c>
      <c r="D41" s="20">
        <f>D6+D15-D7</f>
        <v>-278614.82999999996</v>
      </c>
      <c r="E41" s="20">
        <f t="shared" ref="E41:N41" si="23">E6+E15-E7</f>
        <v>-276659.96999999997</v>
      </c>
      <c r="F41" s="20">
        <f t="shared" si="23"/>
        <v>-289551.33999999997</v>
      </c>
      <c r="G41" s="20">
        <f t="shared" si="23"/>
        <v>-222281.47999999992</v>
      </c>
      <c r="H41" s="20">
        <f t="shared" si="23"/>
        <v>-235959.41999999993</v>
      </c>
      <c r="I41" s="20">
        <f t="shared" si="23"/>
        <v>-269463.59999999992</v>
      </c>
      <c r="J41" s="22">
        <f t="shared" si="23"/>
        <v>-267614.95999999996</v>
      </c>
      <c r="K41" s="20">
        <f t="shared" si="23"/>
        <v>-264279.11</v>
      </c>
      <c r="L41" s="20">
        <f t="shared" si="23"/>
        <v>-271526.01</v>
      </c>
      <c r="M41" s="20">
        <f t="shared" si="23"/>
        <v>-244759.26</v>
      </c>
      <c r="N41" s="23">
        <f t="shared" si="23"/>
        <v>-244759.26000000024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2024-03-04T04:12:17Z</cp:lastPrinted>
  <dcterms:created xsi:type="dcterms:W3CDTF">2011-06-06T03:25:48Z</dcterms:created>
  <dcterms:modified xsi:type="dcterms:W3CDTF">2024-03-04T04:19:25Z</dcterms:modified>
</cp:coreProperties>
</file>