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M21" i="1" l="1"/>
  <c r="M20" i="1"/>
  <c r="M23" i="1"/>
  <c r="M10" i="1"/>
  <c r="M12" i="1"/>
  <c r="M11" i="1"/>
  <c r="M14" i="1"/>
  <c r="L12" i="1"/>
  <c r="L11" i="1"/>
  <c r="L14" i="1"/>
  <c r="K12" i="1"/>
  <c r="K11" i="1"/>
  <c r="K14" i="1"/>
  <c r="L39" i="1" l="1"/>
  <c r="L31" i="1" l="1"/>
  <c r="K39" i="1" l="1"/>
  <c r="M29" i="1" l="1"/>
  <c r="M17" i="1"/>
  <c r="M28" i="1"/>
  <c r="M8" i="1"/>
  <c r="L29" i="1" l="1"/>
  <c r="L17" i="1"/>
  <c r="L28" i="1"/>
  <c r="L8" i="1"/>
  <c r="H11" i="1" l="1"/>
  <c r="I11" i="1"/>
  <c r="J11" i="1"/>
  <c r="K29" i="1" l="1"/>
  <c r="K17" i="1"/>
  <c r="K28" i="1"/>
  <c r="K8" i="1"/>
  <c r="L35" i="1" l="1"/>
  <c r="M35" i="1"/>
  <c r="K35" i="1"/>
  <c r="K30" i="1"/>
  <c r="L30" i="1"/>
  <c r="M30" i="1"/>
  <c r="K27" i="1"/>
  <c r="L27" i="1"/>
  <c r="M27" i="1"/>
  <c r="K26" i="1"/>
  <c r="L26" i="1"/>
  <c r="M26" i="1"/>
  <c r="J39" i="1" l="1"/>
  <c r="J12" i="1" l="1"/>
  <c r="J14" i="1"/>
  <c r="I12" i="1"/>
  <c r="I14" i="1"/>
  <c r="H14" i="1"/>
  <c r="I39" i="1" l="1"/>
  <c r="H35" i="1" l="1"/>
  <c r="I35" i="1"/>
  <c r="J35" i="1"/>
  <c r="J29" i="1" l="1"/>
  <c r="J17" i="1"/>
  <c r="J28" i="1"/>
  <c r="J8" i="1"/>
  <c r="I29" i="1" l="1"/>
  <c r="I17" i="1"/>
  <c r="I28" i="1"/>
  <c r="I8" i="1"/>
  <c r="H29" i="1" l="1"/>
  <c r="H17" i="1"/>
  <c r="H28" i="1"/>
  <c r="H8" i="1"/>
  <c r="H30" i="1" l="1"/>
  <c r="I30" i="1"/>
  <c r="J30" i="1"/>
  <c r="H27" i="1"/>
  <c r="I27" i="1"/>
  <c r="J27" i="1"/>
  <c r="H26" i="1"/>
  <c r="I26" i="1"/>
  <c r="J26" i="1"/>
  <c r="G12" i="1" l="1"/>
  <c r="G11" i="1"/>
  <c r="G14" i="1"/>
  <c r="F12" i="1"/>
  <c r="F11" i="1"/>
  <c r="F14" i="1"/>
  <c r="E20" i="1"/>
  <c r="E23" i="1"/>
  <c r="E11" i="1"/>
  <c r="E14" i="1"/>
  <c r="F39" i="1" l="1"/>
  <c r="G29" i="1" l="1"/>
  <c r="G17" i="1"/>
  <c r="G28" i="1"/>
  <c r="G8" i="1"/>
  <c r="F29" i="1" l="1"/>
  <c r="F17" i="1"/>
  <c r="F28" i="1"/>
  <c r="F8" i="1"/>
  <c r="E29" i="1" l="1"/>
  <c r="E17" i="1"/>
  <c r="E28" i="1"/>
  <c r="E8" i="1"/>
  <c r="E35" i="1" l="1"/>
  <c r="F35" i="1"/>
  <c r="G35" i="1"/>
  <c r="E30" i="1"/>
  <c r="F30" i="1"/>
  <c r="G30" i="1"/>
  <c r="E27" i="1"/>
  <c r="F27" i="1"/>
  <c r="G27" i="1"/>
  <c r="E26" i="1"/>
  <c r="F26" i="1"/>
  <c r="G26" i="1"/>
  <c r="D12" i="1" l="1"/>
  <c r="D11" i="1"/>
  <c r="D14" i="1"/>
  <c r="C12" i="1"/>
  <c r="C11" i="1"/>
  <c r="C14" i="1"/>
  <c r="B11" i="1"/>
  <c r="B14" i="1"/>
  <c r="D39" i="1" l="1"/>
  <c r="D29" i="1" l="1"/>
  <c r="D17" i="1"/>
  <c r="D28" i="1"/>
  <c r="D8" i="1"/>
  <c r="C29" i="1" l="1"/>
  <c r="C17" i="1"/>
  <c r="C28" i="1"/>
  <c r="C8" i="1"/>
  <c r="B29" i="1" l="1"/>
  <c r="B17" i="1"/>
  <c r="B28" i="1"/>
  <c r="B8" i="1"/>
  <c r="C35" i="1" l="1"/>
  <c r="D35" i="1"/>
  <c r="C30" i="1"/>
  <c r="D30" i="1"/>
  <c r="C26" i="1"/>
  <c r="D26" i="1"/>
  <c r="C27" i="1"/>
  <c r="D27" i="1"/>
  <c r="B35" i="1"/>
  <c r="B30" i="1"/>
  <c r="B27" i="1"/>
  <c r="B26" i="1"/>
  <c r="N12" i="1" l="1"/>
  <c r="N13" i="1"/>
  <c r="N14" i="1"/>
  <c r="N15" i="1"/>
  <c r="N11" i="1"/>
  <c r="N9" i="1"/>
  <c r="N18" i="1" l="1"/>
  <c r="N6" i="1" l="1"/>
  <c r="N5" i="1"/>
  <c r="N17" i="1" l="1"/>
  <c r="N8" i="1"/>
  <c r="N26" i="1"/>
  <c r="N27" i="1"/>
  <c r="N30" i="1"/>
  <c r="N31" i="1"/>
  <c r="N32" i="1"/>
  <c r="N33" i="1"/>
  <c r="N34" i="1"/>
  <c r="N35" i="1"/>
  <c r="N36" i="1"/>
  <c r="N37" i="1"/>
  <c r="N38" i="1"/>
  <c r="N19" i="1"/>
  <c r="N20" i="1"/>
  <c r="N21" i="1"/>
  <c r="N22" i="1"/>
  <c r="N23" i="1"/>
  <c r="N24" i="1"/>
  <c r="K16" i="1"/>
  <c r="L16" i="1"/>
  <c r="M16" i="1"/>
  <c r="N10" i="1"/>
  <c r="K7" i="1"/>
  <c r="L7" i="1"/>
  <c r="M7" i="1"/>
  <c r="L40" i="1" l="1"/>
  <c r="L41" i="1" s="1"/>
  <c r="M40" i="1"/>
  <c r="M41" i="1" s="1"/>
  <c r="K40" i="1"/>
  <c r="K41" i="1" s="1"/>
  <c r="N39" i="1"/>
  <c r="H16" i="1" l="1"/>
  <c r="I16" i="1"/>
  <c r="J16" i="1"/>
  <c r="H7" i="1"/>
  <c r="I7" i="1"/>
  <c r="J7" i="1"/>
  <c r="F16" i="1"/>
  <c r="N29" i="1"/>
  <c r="B7" i="1"/>
  <c r="D16" i="1"/>
  <c r="D40" i="1" s="1"/>
  <c r="D41" i="1" s="1"/>
  <c r="D7" i="1"/>
  <c r="C16" i="1"/>
  <c r="C7" i="1"/>
  <c r="B16" i="1"/>
  <c r="C40" i="1" l="1"/>
  <c r="C41" i="1" s="1"/>
  <c r="H40" i="1"/>
  <c r="N28" i="1"/>
  <c r="G16" i="1"/>
  <c r="G7" i="1"/>
  <c r="E16" i="1"/>
  <c r="F7" i="1"/>
  <c r="J40" i="1"/>
  <c r="I40" i="1"/>
  <c r="I41" i="1" s="1"/>
  <c r="E7" i="1"/>
  <c r="B43" i="1"/>
  <c r="C6" i="1" s="1"/>
  <c r="C43" i="1" s="1"/>
  <c r="D6" i="1" s="1"/>
  <c r="D43" i="1" s="1"/>
  <c r="G40" i="1" l="1"/>
  <c r="G41" i="1" s="1"/>
  <c r="E40" i="1"/>
  <c r="E41" i="1" s="1"/>
  <c r="N7" i="1"/>
  <c r="N16" i="1"/>
  <c r="H41" i="1"/>
  <c r="E6" i="1"/>
  <c r="E43" i="1" s="1"/>
  <c r="F6" i="1" s="1"/>
  <c r="B40" i="1"/>
  <c r="B41" i="1" s="1"/>
  <c r="B42" i="1" s="1"/>
  <c r="C5" i="1" s="1"/>
  <c r="C42" i="1" s="1"/>
  <c r="J41" i="1"/>
  <c r="F40" i="1"/>
  <c r="F41" i="1" s="1"/>
  <c r="N40" i="1" l="1"/>
  <c r="N41" i="1" s="1"/>
  <c r="N42" i="1" s="1"/>
  <c r="F43" i="1"/>
  <c r="G6" i="1" s="1"/>
  <c r="N43" i="1"/>
  <c r="G43" i="1" l="1"/>
  <c r="H6" i="1" s="1"/>
  <c r="D5" i="1"/>
  <c r="D42" i="1" l="1"/>
  <c r="E5" i="1" s="1"/>
  <c r="E42" i="1" s="1"/>
  <c r="F5" i="1" s="1"/>
  <c r="F42" i="1" s="1"/>
  <c r="H43" i="1"/>
  <c r="I6" i="1" s="1"/>
  <c r="I43" i="1" l="1"/>
  <c r="J6" i="1" s="1"/>
  <c r="G5" i="1"/>
  <c r="G42" i="1" s="1"/>
  <c r="J43" i="1" l="1"/>
  <c r="K6" i="1" s="1"/>
  <c r="H5" i="1"/>
  <c r="H42" i="1" s="1"/>
  <c r="K43" i="1" l="1"/>
  <c r="L6" i="1" s="1"/>
  <c r="I5" i="1"/>
  <c r="I42" i="1" s="1"/>
  <c r="L43" i="1" l="1"/>
  <c r="M6" i="1" s="1"/>
  <c r="M43" i="1" s="1"/>
  <c r="J5" i="1"/>
  <c r="J42" i="1" s="1"/>
  <c r="K5" i="1" l="1"/>
  <c r="K42" i="1" s="1"/>
  <c r="L5" i="1" l="1"/>
  <c r="L42" i="1" s="1"/>
  <c r="M5" i="1" l="1"/>
  <c r="M42" i="1" s="1"/>
</calcChain>
</file>

<file path=xl/sharedStrings.xml><?xml version="1.0" encoding="utf-8"?>
<sst xmlns="http://schemas.openxmlformats.org/spreadsheetml/2006/main" count="54" uniqueCount="44">
  <si>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</si>
  <si>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</si>
  <si>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</si>
  <si>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</si>
  <si>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</si>
  <si>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</si>
  <si>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</si>
  <si>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</si>
  <si>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</si>
  <si>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</si>
  <si>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</si>
  <si>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</si>
  <si>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</si>
  <si>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</si>
  <si>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</si>
  <si>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</si>
  <si>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</si>
  <si>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Содержание жилья и текущий ремонт /нежилые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</si>
  <si>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</si>
  <si>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</si>
  <si>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</si>
  <si>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</si>
  <si>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</si>
  <si>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</si>
  <si>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</si>
  <si>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</si>
  <si>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Вознаграждение, координация с советом МКД</t>
  </si>
  <si>
    <t>Отведение сточных вод ОИ</t>
  </si>
  <si>
    <t>Тех.обслуживание общедомовых приборов учета</t>
  </si>
  <si>
    <t xml:space="preserve">Содержание жилья и текущий ремонт,  ОПУ </t>
  </si>
  <si>
    <t>Январь 2023г.</t>
  </si>
  <si>
    <t>Февраль 2023г.</t>
  </si>
  <si>
    <t>Март 2023г.</t>
  </si>
  <si>
    <t>Апрель 2023г.</t>
  </si>
  <si>
    <t>Май 2023г.</t>
  </si>
  <si>
    <t>Июнь 2023г.</t>
  </si>
  <si>
    <t>Июль 2023г</t>
  </si>
  <si>
    <t>Август 2023г</t>
  </si>
  <si>
    <t>Сентябрь 2023г</t>
  </si>
  <si>
    <t>Октябрь 2023г</t>
  </si>
  <si>
    <t>Ноябрь 2023г</t>
  </si>
  <si>
    <t>Декабрь 2023г</t>
  </si>
  <si>
    <t>Всего:                       за  2023г.</t>
  </si>
  <si>
    <t xml:space="preserve">                 ОТЧЕТ по дому Матросова, 61 за период 01.01.2023г. по 31.12.2023г.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</si>
</sst>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topLeftCell="A2" zoomScale="75" workbookViewId="0">
      <selection activeCell="B2" sqref="B1:J1048576"/>
    </sheetView>
  </sheetViews>
  <sheetFormatPr defaultRowHeight="13.2" x14ac:dyDescent="0.25"/>
  <cols>
    <col min="1" max="1" width="58.5546875" customWidth="1"/>
    <col min="2" max="2" width="14.109375" customWidth="1"/>
    <col min="3" max="3" width="14.33203125" customWidth="1"/>
    <col min="4" max="5" width="14.109375" customWidth="1"/>
    <col min="6" max="6" width="14.33203125" customWidth="1"/>
    <col min="7" max="7" width="13.88671875" customWidth="1"/>
    <col min="8" max="9" width="14.5546875" customWidth="1"/>
    <col min="10" max="13" width="14" customWidth="1"/>
    <col min="14" max="14" width="16.33203125" customWidth="1"/>
  </cols>
  <sheetData>
    <row r="1" spans="1:18" ht="20.25" customHeight="1" x14ac:dyDescent="0.35">
      <c r="A1" s="21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</row>
    <row r="5" spans="1:18" ht="23.25" customHeight="1" thickBot="1" x14ac:dyDescent="0.3">
      <c r="A5" s="7" t="s">
        <v>16</v>
      </c>
      <c r="B5" s="8">
        <v>-432792.27</v>
      </c>
      <c r="C5" s="8">
        <f t="shared" ref="C5:D6" si="0">B42</f>
        <v>-434607.00751000002</v>
      </c>
      <c r="D5" s="8">
        <f t="shared" si="0"/>
        <v>-430997.43709000002</v>
      </c>
      <c r="E5" s="8">
        <f t="shared" ref="E5:G6" si="1">D42</f>
        <v>-453041.46744000004</v>
      </c>
      <c r="F5" s="8">
        <f t="shared" si="1"/>
        <v>-415244.25973000005</v>
      </c>
      <c r="G5" s="8">
        <f t="shared" si="1"/>
        <v>-547694.23788999999</v>
      </c>
      <c r="H5" s="8">
        <f t="shared" ref="H5:H6" si="2">G42</f>
        <v>-544255.13910000003</v>
      </c>
      <c r="I5" s="8">
        <f t="shared" ref="I5:I6" si="3">H42</f>
        <v>-537723.95481999998</v>
      </c>
      <c r="J5" s="8">
        <f t="shared" ref="J5:J6" si="4">I42</f>
        <v>-545100.32640999998</v>
      </c>
      <c r="K5" s="8">
        <f t="shared" ref="K5:K6" si="5">J42</f>
        <v>-547585.95562999998</v>
      </c>
      <c r="L5" s="8">
        <f t="shared" ref="L5:L6" si="6">K42</f>
        <v>-566782.96260999993</v>
      </c>
      <c r="M5" s="8">
        <f t="shared" ref="M5:M6" si="7">L42</f>
        <v>-605665.49732999993</v>
      </c>
      <c r="N5" s="8">
        <f>B5</f>
        <v>-432792.27</v>
      </c>
    </row>
    <row r="6" spans="1:18" ht="21" customHeight="1" thickBot="1" x14ac:dyDescent="0.3">
      <c r="A6" s="7" t="s">
        <v>13</v>
      </c>
      <c r="B6" s="8">
        <v>-258628.97</v>
      </c>
      <c r="C6" s="8">
        <f t="shared" si="0"/>
        <v>-267716.88</v>
      </c>
      <c r="D6" s="8">
        <f t="shared" si="0"/>
        <v>-280060.81</v>
      </c>
      <c r="E6" s="8">
        <f t="shared" si="1"/>
        <v>-296340.45</v>
      </c>
      <c r="F6" s="8">
        <f t="shared" si="1"/>
        <v>-269494.34000000003</v>
      </c>
      <c r="G6" s="8">
        <f t="shared" si="1"/>
        <v>-276321.23000000004</v>
      </c>
      <c r="H6" s="8">
        <f t="shared" si="2"/>
        <v>-286802.18000000005</v>
      </c>
      <c r="I6" s="8">
        <f t="shared" si="3"/>
        <v>-290337.63000000006</v>
      </c>
      <c r="J6" s="8">
        <f t="shared" si="4"/>
        <v>-296654.45000000007</v>
      </c>
      <c r="K6" s="8">
        <f t="shared" si="5"/>
        <v>-310149.41000000009</v>
      </c>
      <c r="L6" s="8">
        <f t="shared" si="6"/>
        <v>-331506.10000000009</v>
      </c>
      <c r="M6" s="8">
        <f t="shared" si="7"/>
        <v>-346581.27000000008</v>
      </c>
      <c r="N6" s="8">
        <f>B6</f>
        <v>-258628.97</v>
      </c>
    </row>
    <row r="7" spans="1:18" ht="20.25" customHeight="1" thickBot="1" x14ac:dyDescent="0.3">
      <c r="A7" s="9" t="s">
        <v>12</v>
      </c>
      <c r="B7" s="10">
        <f t="shared" ref="B7:M7" si="8">SUM(B8:B15)</f>
        <v>46952.650000000009</v>
      </c>
      <c r="C7" s="10">
        <f t="shared" si="8"/>
        <v>51722.080000000009</v>
      </c>
      <c r="D7" s="10">
        <f t="shared" si="8"/>
        <v>47365.640000000007</v>
      </c>
      <c r="E7" s="10">
        <f t="shared" si="8"/>
        <v>46989.41</v>
      </c>
      <c r="F7" s="10">
        <f t="shared" si="8"/>
        <v>48049.01</v>
      </c>
      <c r="G7" s="10">
        <f t="shared" si="8"/>
        <v>48850.200000000004</v>
      </c>
      <c r="H7" s="10">
        <f t="shared" si="8"/>
        <v>47053.880000000005</v>
      </c>
      <c r="I7" s="10">
        <f t="shared" si="8"/>
        <v>48975.4</v>
      </c>
      <c r="J7" s="10">
        <f t="shared" si="8"/>
        <v>47836.33</v>
      </c>
      <c r="K7" s="10">
        <f t="shared" si="8"/>
        <v>49998.080000000002</v>
      </c>
      <c r="L7" s="10">
        <f t="shared" si="8"/>
        <v>49362.740000000005</v>
      </c>
      <c r="M7" s="10">
        <f t="shared" si="8"/>
        <v>50165.98</v>
      </c>
      <c r="N7" s="10">
        <f>SUM(B7:M7)</f>
        <v>583321.40000000014</v>
      </c>
    </row>
    <row r="8" spans="1:18" ht="24.75" customHeight="1" thickBot="1" x14ac:dyDescent="0.3">
      <c r="A8" s="4" t="s">
        <v>29</v>
      </c>
      <c r="B8" s="11">
        <f t="shared" ref="B8:G8" si="9">27636.22+1482.26</f>
        <v>29118.48</v>
      </c>
      <c r="C8" s="11">
        <f t="shared" si="9"/>
        <v>29118.48</v>
      </c>
      <c r="D8" s="11">
        <f t="shared" si="9"/>
        <v>29118.48</v>
      </c>
      <c r="E8" s="11">
        <f t="shared" si="9"/>
        <v>29118.48</v>
      </c>
      <c r="F8" s="11">
        <f t="shared" si="9"/>
        <v>29118.48</v>
      </c>
      <c r="G8" s="11">
        <f t="shared" si="9"/>
        <v>29118.48</v>
      </c>
      <c r="H8" s="11">
        <f>27636.22+1482.26</f>
        <v>29118.48</v>
      </c>
      <c r="I8" s="11">
        <f>27636.22+1482.26</f>
        <v>29118.48</v>
      </c>
      <c r="J8" s="11">
        <f>27636.22+1482.26</f>
        <v>29118.48</v>
      </c>
      <c r="K8" s="11">
        <f>28935.74+1482.26</f>
        <v>30418</v>
      </c>
      <c r="L8" s="11">
        <f>28935.74+1482.26</f>
        <v>30418</v>
      </c>
      <c r="M8" s="11">
        <f>28935.74+1482.26</f>
        <v>30418</v>
      </c>
      <c r="N8" s="11">
        <f>SUM(B8:M8)</f>
        <v>353320.32000000007</v>
      </c>
    </row>
    <row r="9" spans="1:18" ht="24.75" customHeight="1" thickBot="1" x14ac:dyDescent="0.3">
      <c r="A9" s="4" t="s">
        <v>17</v>
      </c>
      <c r="B9" s="11">
        <v>16806.68</v>
      </c>
      <c r="C9" s="11">
        <v>16806.68</v>
      </c>
      <c r="D9" s="11">
        <v>16806.68</v>
      </c>
      <c r="E9" s="11">
        <v>16806.68</v>
      </c>
      <c r="F9" s="11">
        <v>16806.68</v>
      </c>
      <c r="G9" s="11">
        <v>16806.68</v>
      </c>
      <c r="H9" s="11">
        <v>16806.68</v>
      </c>
      <c r="I9" s="11">
        <v>16806.68</v>
      </c>
      <c r="J9" s="11">
        <v>16806.68</v>
      </c>
      <c r="K9" s="11">
        <v>17596.939999999999</v>
      </c>
      <c r="L9" s="11">
        <v>17596.939999999999</v>
      </c>
      <c r="M9" s="11">
        <v>17596.939999999999</v>
      </c>
      <c r="N9" s="11">
        <f>SUM(B9:M9)</f>
        <v>204050.93999999997</v>
      </c>
    </row>
    <row r="10" spans="1:18" ht="24.75" customHeight="1" thickBot="1" x14ac:dyDescent="0.3">
      <c r="A10" s="4" t="s">
        <v>18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f>180.29+109.64</f>
        <v>289.93</v>
      </c>
      <c r="N10" s="11">
        <f t="shared" ref="N10" si="10">SUM(B10:M10)</f>
        <v>289.93</v>
      </c>
    </row>
    <row r="11" spans="1:18" ht="24.75" customHeight="1" thickBot="1" x14ac:dyDescent="0.3">
      <c r="A11" s="4" t="s">
        <v>19</v>
      </c>
      <c r="B11" s="11">
        <f>83.99+55.13</f>
        <v>139.12</v>
      </c>
      <c r="C11" s="11">
        <f>83.99+55.13</f>
        <v>139.12</v>
      </c>
      <c r="D11" s="11">
        <f>83.99+55.13</f>
        <v>139.12</v>
      </c>
      <c r="E11" s="11">
        <f>120.75+55.13</f>
        <v>175.88</v>
      </c>
      <c r="F11" s="11">
        <f>148.46+91.89</f>
        <v>240.35000000000002</v>
      </c>
      <c r="G11" s="11">
        <f>148.46+91.89</f>
        <v>240.35000000000002</v>
      </c>
      <c r="H11" s="11">
        <f t="shared" ref="H11:J11" si="11">148.46+91.89</f>
        <v>240.35000000000002</v>
      </c>
      <c r="I11" s="11">
        <f t="shared" si="11"/>
        <v>240.35000000000002</v>
      </c>
      <c r="J11" s="11">
        <f t="shared" si="11"/>
        <v>240.35000000000002</v>
      </c>
      <c r="K11" s="11">
        <f>148.46+91.89</f>
        <v>240.35000000000002</v>
      </c>
      <c r="L11" s="11">
        <f>148.46+91.89</f>
        <v>240.35000000000002</v>
      </c>
      <c r="M11" s="11">
        <f>148.46+91.89</f>
        <v>240.35000000000002</v>
      </c>
      <c r="N11" s="11">
        <f>SUM(B11:M11)</f>
        <v>2516.0399999999995</v>
      </c>
    </row>
    <row r="12" spans="1:18" ht="24.75" customHeight="1" thickBot="1" x14ac:dyDescent="0.3">
      <c r="A12" s="4" t="s">
        <v>20</v>
      </c>
      <c r="B12" s="11">
        <v>0</v>
      </c>
      <c r="C12" s="11">
        <f>2968.39+1801.04</f>
        <v>4769.43</v>
      </c>
      <c r="D12" s="11">
        <f>256.88+156.11</f>
        <v>412.99</v>
      </c>
      <c r="E12" s="11">
        <v>0</v>
      </c>
      <c r="F12" s="11">
        <f>618.38+376.75</f>
        <v>995.13</v>
      </c>
      <c r="G12" s="11">
        <f>1116.33+679.99</f>
        <v>1796.32</v>
      </c>
      <c r="H12" s="11">
        <v>0</v>
      </c>
      <c r="I12" s="11">
        <f>1195.59+725.93</f>
        <v>1921.52</v>
      </c>
      <c r="J12" s="11">
        <f>488.4+294.05</f>
        <v>782.45</v>
      </c>
      <c r="K12" s="11">
        <f>532.8+321.62</f>
        <v>854.42</v>
      </c>
      <c r="L12" s="11">
        <f>136.38+82.7</f>
        <v>219.07999999999998</v>
      </c>
      <c r="M12" s="11">
        <f>456.72+275.67</f>
        <v>732.3900000000001</v>
      </c>
      <c r="N12" s="11">
        <f t="shared" ref="N12:N15" si="12">SUM(B12:M12)</f>
        <v>12483.73</v>
      </c>
    </row>
    <row r="13" spans="1:18" ht="24.75" hidden="1" customHeight="1" thickBot="1" x14ac:dyDescent="0.3">
      <c r="A13" s="4" t="s">
        <v>26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>
        <f t="shared" si="12"/>
        <v>0</v>
      </c>
    </row>
    <row r="14" spans="1:18" ht="24.75" customHeight="1" thickBot="1" x14ac:dyDescent="0.3">
      <c r="A14" s="4" t="s">
        <v>27</v>
      </c>
      <c r="B14" s="11">
        <f t="shared" ref="B14:G14" si="13">178.1+110.27</f>
        <v>288.37</v>
      </c>
      <c r="C14" s="11">
        <f t="shared" si="13"/>
        <v>288.37</v>
      </c>
      <c r="D14" s="11">
        <f t="shared" si="13"/>
        <v>288.37</v>
      </c>
      <c r="E14" s="11">
        <f t="shared" si="13"/>
        <v>288.37</v>
      </c>
      <c r="F14" s="11">
        <f t="shared" si="13"/>
        <v>288.37</v>
      </c>
      <c r="G14" s="11">
        <f t="shared" si="13"/>
        <v>288.37</v>
      </c>
      <c r="H14" s="11">
        <f t="shared" ref="H14:M14" si="14">178.1+110.27</f>
        <v>288.37</v>
      </c>
      <c r="I14" s="11">
        <f t="shared" si="14"/>
        <v>288.37</v>
      </c>
      <c r="J14" s="11">
        <f t="shared" si="14"/>
        <v>288.37</v>
      </c>
      <c r="K14" s="11">
        <f t="shared" si="14"/>
        <v>288.37</v>
      </c>
      <c r="L14" s="11">
        <f t="shared" si="14"/>
        <v>288.37</v>
      </c>
      <c r="M14" s="11">
        <f t="shared" si="14"/>
        <v>288.37</v>
      </c>
      <c r="N14" s="11">
        <f t="shared" si="12"/>
        <v>3460.4399999999991</v>
      </c>
    </row>
    <row r="15" spans="1:18" ht="24.75" customHeight="1" thickBot="1" x14ac:dyDescent="0.3">
      <c r="A15" s="4" t="s">
        <v>15</v>
      </c>
      <c r="B15" s="11">
        <v>600</v>
      </c>
      <c r="C15" s="11">
        <v>600</v>
      </c>
      <c r="D15" s="11">
        <v>600</v>
      </c>
      <c r="E15" s="11">
        <v>600</v>
      </c>
      <c r="F15" s="11">
        <v>600</v>
      </c>
      <c r="G15" s="11">
        <v>600</v>
      </c>
      <c r="H15" s="11">
        <v>600</v>
      </c>
      <c r="I15" s="11">
        <v>600</v>
      </c>
      <c r="J15" s="11">
        <v>600</v>
      </c>
      <c r="K15" s="11">
        <v>600</v>
      </c>
      <c r="L15" s="11">
        <v>600</v>
      </c>
      <c r="M15" s="11">
        <v>600</v>
      </c>
      <c r="N15" s="11">
        <f t="shared" si="12"/>
        <v>7200</v>
      </c>
    </row>
    <row r="16" spans="1:18" ht="20.25" customHeight="1" thickBot="1" x14ac:dyDescent="0.3">
      <c r="A16" s="12" t="s">
        <v>8</v>
      </c>
      <c r="B16" s="13">
        <f t="shared" ref="B16:M16" si="15">SUM(B17:B24)</f>
        <v>37864.740000000005</v>
      </c>
      <c r="C16" s="13">
        <f t="shared" si="15"/>
        <v>39378.15</v>
      </c>
      <c r="D16" s="13">
        <f t="shared" si="15"/>
        <v>31086</v>
      </c>
      <c r="E16" s="13">
        <f t="shared" si="15"/>
        <v>73835.51999999999</v>
      </c>
      <c r="F16" s="13">
        <f t="shared" si="15"/>
        <v>41222.119999999995</v>
      </c>
      <c r="G16" s="13">
        <f t="shared" si="15"/>
        <v>38369.25</v>
      </c>
      <c r="H16" s="13">
        <f t="shared" si="15"/>
        <v>43518.430000000008</v>
      </c>
      <c r="I16" s="13">
        <f t="shared" si="15"/>
        <v>42658.58</v>
      </c>
      <c r="J16" s="13">
        <f t="shared" si="15"/>
        <v>34341.370000000003</v>
      </c>
      <c r="K16" s="13">
        <f t="shared" si="15"/>
        <v>28641.39</v>
      </c>
      <c r="L16" s="13">
        <f t="shared" si="15"/>
        <v>34287.57</v>
      </c>
      <c r="M16" s="13">
        <f t="shared" si="15"/>
        <v>85499.54</v>
      </c>
      <c r="N16" s="13">
        <f>SUM(B16:M16)</f>
        <v>530702.66</v>
      </c>
    </row>
    <row r="17" spans="1:15" ht="24" customHeight="1" thickBot="1" x14ac:dyDescent="0.3">
      <c r="A17" s="4" t="s">
        <v>29</v>
      </c>
      <c r="B17" s="11">
        <f>23450.32-343.6+797.22</f>
        <v>23903.940000000002</v>
      </c>
      <c r="C17" s="11">
        <f>35200.15+9.26+1018.69+23.86</f>
        <v>36251.960000000006</v>
      </c>
      <c r="D17" s="11">
        <f>26300.31+889.98</f>
        <v>27190.29</v>
      </c>
      <c r="E17" s="11">
        <f>27279.69+881.69</f>
        <v>28161.379999999997</v>
      </c>
      <c r="F17" s="11">
        <f>26139.05+808.84+0.1</f>
        <v>26947.989999999998</v>
      </c>
      <c r="G17" s="11">
        <f>22578.71+752.76</f>
        <v>23331.469999999998</v>
      </c>
      <c r="H17" s="11">
        <f>27158.74+832.74</f>
        <v>27991.480000000003</v>
      </c>
      <c r="I17" s="11">
        <f>26768.06+969.03</f>
        <v>27737.09</v>
      </c>
      <c r="J17" s="11">
        <f>31515.56+965.33</f>
        <v>32480.890000000003</v>
      </c>
      <c r="K17" s="11">
        <f>26599.32+815.12</f>
        <v>27414.44</v>
      </c>
      <c r="L17" s="11">
        <f>31886.94+993.12</f>
        <v>32880.06</v>
      </c>
      <c r="M17" s="11">
        <f>27455.89+814.17+826.07</f>
        <v>29096.129999999997</v>
      </c>
      <c r="N17" s="11">
        <f>SUM(B17:M17)</f>
        <v>343387.12</v>
      </c>
    </row>
    <row r="18" spans="1:15" ht="26.25" customHeight="1" thickBot="1" x14ac:dyDescent="0.3">
      <c r="A18" s="4" t="s">
        <v>17</v>
      </c>
      <c r="B18" s="11">
        <v>13397.56</v>
      </c>
      <c r="C18" s="11">
        <v>0</v>
      </c>
      <c r="D18" s="11">
        <v>0</v>
      </c>
      <c r="E18" s="11">
        <v>42067.23</v>
      </c>
      <c r="F18" s="11">
        <v>13553.77</v>
      </c>
      <c r="G18" s="11">
        <v>13397.56</v>
      </c>
      <c r="H18" s="11">
        <v>13811.07</v>
      </c>
      <c r="I18" s="11">
        <v>14114.31</v>
      </c>
      <c r="J18" s="11">
        <v>0</v>
      </c>
      <c r="K18" s="11">
        <v>0</v>
      </c>
      <c r="L18" s="11">
        <v>0</v>
      </c>
      <c r="M18" s="11">
        <v>54830.77</v>
      </c>
      <c r="N18" s="11">
        <f>SUM(B18:M18)</f>
        <v>165172.26999999999</v>
      </c>
    </row>
    <row r="19" spans="1:15" ht="26.25" customHeight="1" thickBot="1" x14ac:dyDescent="0.3">
      <c r="A19" s="4" t="s">
        <v>18</v>
      </c>
      <c r="B19" s="11">
        <v>2.36</v>
      </c>
      <c r="C19" s="11">
        <v>84.49</v>
      </c>
      <c r="D19" s="11">
        <v>4.09</v>
      </c>
      <c r="E19" s="11">
        <v>2.78</v>
      </c>
      <c r="F19" s="11">
        <v>15.71</v>
      </c>
      <c r="G19" s="11">
        <v>0</v>
      </c>
      <c r="H19" s="11">
        <v>13.38</v>
      </c>
      <c r="I19" s="11">
        <v>1.27</v>
      </c>
      <c r="J19" s="11">
        <v>5.51</v>
      </c>
      <c r="K19" s="11">
        <v>4.8099999999999996</v>
      </c>
      <c r="L19" s="11">
        <v>0</v>
      </c>
      <c r="M19" s="11">
        <v>3.79</v>
      </c>
      <c r="N19" s="11">
        <f t="shared" ref="N19:N24" si="16">SUM(B19:M19)</f>
        <v>138.19</v>
      </c>
    </row>
    <row r="20" spans="1:15" ht="26.25" customHeight="1" thickBot="1" x14ac:dyDescent="0.3">
      <c r="A20" s="4" t="s">
        <v>19</v>
      </c>
      <c r="B20" s="11">
        <v>0.01</v>
      </c>
      <c r="C20" s="11">
        <v>13.9</v>
      </c>
      <c r="D20" s="11">
        <v>7.69</v>
      </c>
      <c r="E20" s="11">
        <f>5.3+110.26</f>
        <v>115.56</v>
      </c>
      <c r="F20" s="11">
        <v>12.62</v>
      </c>
      <c r="G20" s="11">
        <v>11.84</v>
      </c>
      <c r="H20" s="11">
        <v>124.12</v>
      </c>
      <c r="I20" s="11">
        <v>133.47999999999999</v>
      </c>
      <c r="J20" s="11">
        <v>143.37</v>
      </c>
      <c r="K20" s="11">
        <v>136.13</v>
      </c>
      <c r="L20" s="11">
        <v>164.89</v>
      </c>
      <c r="M20" s="11">
        <f>136.05+183.78</f>
        <v>319.83000000000004</v>
      </c>
      <c r="N20" s="11">
        <f t="shared" si="16"/>
        <v>1183.44</v>
      </c>
    </row>
    <row r="21" spans="1:15" ht="26.25" customHeight="1" thickBot="1" x14ac:dyDescent="0.3">
      <c r="A21" s="4" t="s">
        <v>20</v>
      </c>
      <c r="B21" s="11">
        <v>7.51</v>
      </c>
      <c r="C21" s="11">
        <v>208.21</v>
      </c>
      <c r="D21" s="11">
        <v>1115.68</v>
      </c>
      <c r="E21" s="11">
        <v>292.93</v>
      </c>
      <c r="F21" s="11">
        <v>121.36</v>
      </c>
      <c r="G21" s="11">
        <v>482.9</v>
      </c>
      <c r="H21" s="11">
        <v>1002.8</v>
      </c>
      <c r="I21" s="11">
        <v>100.23</v>
      </c>
      <c r="J21" s="11">
        <v>1112.02</v>
      </c>
      <c r="K21" s="11">
        <v>515.76</v>
      </c>
      <c r="L21" s="11">
        <v>644.67999999999995</v>
      </c>
      <c r="M21" s="11">
        <f>165.77+294.05</f>
        <v>459.82000000000005</v>
      </c>
      <c r="N21" s="11">
        <f t="shared" si="16"/>
        <v>6063.9000000000005</v>
      </c>
    </row>
    <row r="22" spans="1:15" ht="26.25" hidden="1" customHeight="1" thickBot="1" x14ac:dyDescent="0.3">
      <c r="A22" s="4" t="s">
        <v>26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>
        <f t="shared" si="16"/>
        <v>0</v>
      </c>
    </row>
    <row r="23" spans="1:15" ht="26.25" customHeight="1" thickBot="1" x14ac:dyDescent="0.3">
      <c r="A23" s="4" t="s">
        <v>27</v>
      </c>
      <c r="B23" s="11">
        <v>153.36000000000001</v>
      </c>
      <c r="C23" s="11">
        <v>219.59</v>
      </c>
      <c r="D23" s="11">
        <v>168.25</v>
      </c>
      <c r="E23" s="11">
        <f>175.1+220.54</f>
        <v>395.64</v>
      </c>
      <c r="F23" s="11">
        <v>170.67</v>
      </c>
      <c r="G23" s="11">
        <v>145.47999999999999</v>
      </c>
      <c r="H23" s="11">
        <v>175.58</v>
      </c>
      <c r="I23" s="11">
        <v>172.2</v>
      </c>
      <c r="J23" s="11">
        <v>199.58</v>
      </c>
      <c r="K23" s="11">
        <v>170.25</v>
      </c>
      <c r="L23" s="11">
        <v>197.94</v>
      </c>
      <c r="M23" s="11">
        <f>168.66+220.54</f>
        <v>389.2</v>
      </c>
      <c r="N23" s="11">
        <f t="shared" si="16"/>
        <v>2557.7399999999998</v>
      </c>
    </row>
    <row r="24" spans="1:15" ht="26.25" customHeight="1" thickBot="1" x14ac:dyDescent="0.3">
      <c r="A24" s="4" t="s">
        <v>15</v>
      </c>
      <c r="B24" s="14">
        <v>400</v>
      </c>
      <c r="C24" s="14">
        <v>2600</v>
      </c>
      <c r="D24" s="14">
        <v>2600</v>
      </c>
      <c r="E24" s="14">
        <v>2800</v>
      </c>
      <c r="F24" s="14">
        <v>400</v>
      </c>
      <c r="G24" s="14">
        <v>1000</v>
      </c>
      <c r="H24" s="14">
        <v>400</v>
      </c>
      <c r="I24" s="14">
        <v>400</v>
      </c>
      <c r="J24" s="14">
        <v>400</v>
      </c>
      <c r="K24" s="14">
        <v>400</v>
      </c>
      <c r="L24" s="14">
        <v>400</v>
      </c>
      <c r="M24" s="14">
        <v>400</v>
      </c>
      <c r="N24" s="11">
        <f t="shared" si="16"/>
        <v>12200</v>
      </c>
      <c r="O24" s="3"/>
    </row>
    <row r="25" spans="1:15" ht="21.75" customHeight="1" thickBot="1" x14ac:dyDescent="0.3">
      <c r="A25" s="15" t="s">
        <v>25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5" ht="19.5" customHeight="1" thickBot="1" x14ac:dyDescent="0.3">
      <c r="A26" s="4" t="s">
        <v>1</v>
      </c>
      <c r="B26" s="11">
        <f>2429.9*0.6</f>
        <v>1457.94</v>
      </c>
      <c r="C26" s="11">
        <f t="shared" ref="C26:M26" si="17">2429.9*0.6</f>
        <v>1457.94</v>
      </c>
      <c r="D26" s="11">
        <f t="shared" si="17"/>
        <v>1457.94</v>
      </c>
      <c r="E26" s="11">
        <f t="shared" si="17"/>
        <v>1457.94</v>
      </c>
      <c r="F26" s="11">
        <f t="shared" si="17"/>
        <v>1457.94</v>
      </c>
      <c r="G26" s="11">
        <f t="shared" si="17"/>
        <v>1457.94</v>
      </c>
      <c r="H26" s="11">
        <f t="shared" si="17"/>
        <v>1457.94</v>
      </c>
      <c r="I26" s="11">
        <f t="shared" si="17"/>
        <v>1457.94</v>
      </c>
      <c r="J26" s="11">
        <f t="shared" si="17"/>
        <v>1457.94</v>
      </c>
      <c r="K26" s="11">
        <f t="shared" si="17"/>
        <v>1457.94</v>
      </c>
      <c r="L26" s="11">
        <f t="shared" si="17"/>
        <v>1457.94</v>
      </c>
      <c r="M26" s="11">
        <f t="shared" si="17"/>
        <v>1457.94</v>
      </c>
      <c r="N26" s="11">
        <f t="shared" ref="N26:N39" si="18">SUM(B26:M26)</f>
        <v>17495.280000000002</v>
      </c>
    </row>
    <row r="27" spans="1:15" ht="22.5" customHeight="1" thickBot="1" x14ac:dyDescent="0.3">
      <c r="A27" s="4" t="s">
        <v>2</v>
      </c>
      <c r="B27" s="20">
        <f t="shared" ref="B27:M27" si="19">2429.9*0.17</f>
        <v>413.08300000000003</v>
      </c>
      <c r="C27" s="20">
        <f t="shared" si="19"/>
        <v>413.08300000000003</v>
      </c>
      <c r="D27" s="20">
        <f t="shared" si="19"/>
        <v>413.08300000000003</v>
      </c>
      <c r="E27" s="20">
        <f t="shared" si="19"/>
        <v>413.08300000000003</v>
      </c>
      <c r="F27" s="20">
        <f t="shared" si="19"/>
        <v>413.08300000000003</v>
      </c>
      <c r="G27" s="20">
        <f t="shared" si="19"/>
        <v>413.08300000000003</v>
      </c>
      <c r="H27" s="20">
        <f t="shared" si="19"/>
        <v>413.08300000000003</v>
      </c>
      <c r="I27" s="20">
        <f t="shared" si="19"/>
        <v>413.08300000000003</v>
      </c>
      <c r="J27" s="20">
        <f t="shared" si="19"/>
        <v>413.08300000000003</v>
      </c>
      <c r="K27" s="20">
        <f t="shared" si="19"/>
        <v>413.08300000000003</v>
      </c>
      <c r="L27" s="20">
        <f t="shared" si="19"/>
        <v>413.08300000000003</v>
      </c>
      <c r="M27" s="20">
        <f t="shared" si="19"/>
        <v>413.08300000000003</v>
      </c>
      <c r="N27" s="11">
        <f t="shared" si="18"/>
        <v>4956.9959999999992</v>
      </c>
    </row>
    <row r="28" spans="1:15" ht="21" customHeight="1" thickBot="1" x14ac:dyDescent="0.3">
      <c r="A28" s="4" t="s">
        <v>3</v>
      </c>
      <c r="B28" s="11">
        <f>29380.57*2.3%</f>
        <v>675.75310999999999</v>
      </c>
      <c r="C28" s="11">
        <f>32348.96*2.3%</f>
        <v>744.02607999999998</v>
      </c>
      <c r="D28" s="11">
        <f>29637.45*2.3%</f>
        <v>681.66134999999997</v>
      </c>
      <c r="E28" s="11">
        <f>29417.33*2.3%</f>
        <v>676.59859000000006</v>
      </c>
      <c r="F28" s="11">
        <f>30063.42*2.3%</f>
        <v>691.4586599999999</v>
      </c>
      <c r="G28" s="11">
        <f>30561.37*2.3%</f>
        <v>702.91151000000002</v>
      </c>
      <c r="H28" s="11">
        <f>29445.04*2.3%</f>
        <v>677.23591999999996</v>
      </c>
      <c r="I28" s="11">
        <f>30640.63*2.3%</f>
        <v>704.73449000000005</v>
      </c>
      <c r="J28" s="11">
        <f>29933.44*2.3%</f>
        <v>688.46911999999998</v>
      </c>
      <c r="K28" s="11">
        <f>31277.36*2.3%</f>
        <v>719.37927999999999</v>
      </c>
      <c r="L28" s="11">
        <f>30880.94*2.3%</f>
        <v>710.26161999999999</v>
      </c>
      <c r="M28" s="11">
        <f>31381.57*2.3%</f>
        <v>721.77611000000002</v>
      </c>
      <c r="N28" s="11">
        <f t="shared" si="18"/>
        <v>8394.26584</v>
      </c>
    </row>
    <row r="29" spans="1:15" ht="23.25" customHeight="1" thickBot="1" x14ac:dyDescent="0.3">
      <c r="A29" s="4" t="s">
        <v>4</v>
      </c>
      <c r="B29" s="11">
        <f>24067.18*3%</f>
        <v>722.0154</v>
      </c>
      <c r="C29" s="11">
        <f>36778.15*3%</f>
        <v>1103.3444999999999</v>
      </c>
      <c r="D29" s="11">
        <f>28486*3%</f>
        <v>854.57999999999993</v>
      </c>
      <c r="E29" s="11">
        <f>28637.49*3%</f>
        <v>859.12469999999996</v>
      </c>
      <c r="F29" s="11">
        <f>27268.35*3%</f>
        <v>818.05049999999994</v>
      </c>
      <c r="G29" s="11">
        <f>23971.69*3%</f>
        <v>719.15069999999992</v>
      </c>
      <c r="H29" s="11">
        <f>29307.36*3%</f>
        <v>879.22079999999994</v>
      </c>
      <c r="I29" s="11">
        <f>28144.27*3%</f>
        <v>844.32809999999995</v>
      </c>
      <c r="J29" s="11">
        <f>33941.37*3%</f>
        <v>1018.2411000000001</v>
      </c>
      <c r="K29" s="11">
        <f>28241.39*3%</f>
        <v>847.24169999999992</v>
      </c>
      <c r="L29" s="11">
        <f>33887.57*3%</f>
        <v>1016.6270999999999</v>
      </c>
      <c r="M29" s="11">
        <f>29570.4*3%</f>
        <v>887.11199999999997</v>
      </c>
      <c r="N29" s="11">
        <f t="shared" si="18"/>
        <v>10569.036599999999</v>
      </c>
    </row>
    <row r="30" spans="1:15" ht="23.25" customHeight="1" thickBot="1" x14ac:dyDescent="0.3">
      <c r="A30" s="4" t="s">
        <v>9</v>
      </c>
      <c r="B30" s="11">
        <f t="shared" ref="B30:M30" si="20">2429.9*9.7</f>
        <v>23570.03</v>
      </c>
      <c r="C30" s="11">
        <f t="shared" si="20"/>
        <v>23570.03</v>
      </c>
      <c r="D30" s="11">
        <f t="shared" si="20"/>
        <v>23570.03</v>
      </c>
      <c r="E30" s="11">
        <f t="shared" si="20"/>
        <v>23570.03</v>
      </c>
      <c r="F30" s="11">
        <f t="shared" si="20"/>
        <v>23570.03</v>
      </c>
      <c r="G30" s="11">
        <f t="shared" si="20"/>
        <v>23570.03</v>
      </c>
      <c r="H30" s="11">
        <f t="shared" si="20"/>
        <v>23570.03</v>
      </c>
      <c r="I30" s="11">
        <f t="shared" si="20"/>
        <v>23570.03</v>
      </c>
      <c r="J30" s="11">
        <f t="shared" si="20"/>
        <v>23570.03</v>
      </c>
      <c r="K30" s="11">
        <f t="shared" si="20"/>
        <v>23570.03</v>
      </c>
      <c r="L30" s="11">
        <f t="shared" si="20"/>
        <v>23570.03</v>
      </c>
      <c r="M30" s="11">
        <f t="shared" si="20"/>
        <v>23570.03</v>
      </c>
      <c r="N30" s="11">
        <f t="shared" si="18"/>
        <v>282840.36</v>
      </c>
    </row>
    <row r="31" spans="1:15" ht="26.25" customHeight="1" thickBot="1" x14ac:dyDescent="0.3">
      <c r="A31" s="4" t="s">
        <v>21</v>
      </c>
      <c r="B31" s="11">
        <v>0.02</v>
      </c>
      <c r="C31" s="11">
        <v>0.02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f>0+289.93</f>
        <v>289.93</v>
      </c>
      <c r="M31" s="11">
        <v>0</v>
      </c>
      <c r="N31" s="11">
        <f t="shared" si="18"/>
        <v>289.97000000000003</v>
      </c>
    </row>
    <row r="32" spans="1:15" ht="26.25" customHeight="1" thickBot="1" x14ac:dyDescent="0.3">
      <c r="A32" s="4" t="s">
        <v>22</v>
      </c>
      <c r="B32" s="11">
        <v>222.67</v>
      </c>
      <c r="C32" s="11">
        <v>222.67</v>
      </c>
      <c r="D32" s="11">
        <v>222.67</v>
      </c>
      <c r="E32" s="11">
        <v>222.67</v>
      </c>
      <c r="F32" s="11">
        <v>222.67</v>
      </c>
      <c r="G32" s="11">
        <v>222.67</v>
      </c>
      <c r="H32" s="11">
        <v>222.67</v>
      </c>
      <c r="I32" s="11">
        <v>222.67</v>
      </c>
      <c r="J32" s="11">
        <v>222.67</v>
      </c>
      <c r="K32" s="11">
        <v>222.67</v>
      </c>
      <c r="L32" s="11">
        <v>222.67</v>
      </c>
      <c r="M32" s="11">
        <v>222.67</v>
      </c>
      <c r="N32" s="11">
        <f t="shared" si="18"/>
        <v>2672.0400000000004</v>
      </c>
    </row>
    <row r="33" spans="1:14" ht="26.25" customHeight="1" thickBot="1" x14ac:dyDescent="0.3">
      <c r="A33" s="4" t="s">
        <v>23</v>
      </c>
      <c r="B33" s="11">
        <v>4773.6000000000004</v>
      </c>
      <c r="C33" s="11">
        <v>413.1</v>
      </c>
      <c r="D33" s="11">
        <v>0</v>
      </c>
      <c r="E33" s="11">
        <v>994.5</v>
      </c>
      <c r="F33" s="11">
        <v>1795.2</v>
      </c>
      <c r="G33" s="11">
        <v>0</v>
      </c>
      <c r="H33" s="11">
        <v>1922.7</v>
      </c>
      <c r="I33" s="11">
        <v>785.4</v>
      </c>
      <c r="J33" s="11">
        <v>856.8</v>
      </c>
      <c r="K33" s="11">
        <v>219.3</v>
      </c>
      <c r="L33" s="11">
        <v>734.4</v>
      </c>
      <c r="M33" s="11">
        <v>1830.9</v>
      </c>
      <c r="N33" s="11">
        <f t="shared" si="18"/>
        <v>14325.899999999998</v>
      </c>
    </row>
    <row r="34" spans="1:14" ht="26.25" customHeight="1" thickBot="1" x14ac:dyDescent="0.3">
      <c r="A34" s="4" t="s">
        <v>27</v>
      </c>
      <c r="B34" s="11">
        <v>286.44</v>
      </c>
      <c r="C34" s="11">
        <v>286.44</v>
      </c>
      <c r="D34" s="11">
        <v>286.44</v>
      </c>
      <c r="E34" s="11">
        <v>286.44</v>
      </c>
      <c r="F34" s="11">
        <v>286.44</v>
      </c>
      <c r="G34" s="11">
        <v>286.44</v>
      </c>
      <c r="H34" s="11">
        <v>286.44</v>
      </c>
      <c r="I34" s="11">
        <v>286.44</v>
      </c>
      <c r="J34" s="11">
        <v>286.44</v>
      </c>
      <c r="K34" s="11">
        <v>286.44</v>
      </c>
      <c r="L34" s="11">
        <v>286.44</v>
      </c>
      <c r="M34" s="11">
        <v>286.44</v>
      </c>
      <c r="N34" s="11">
        <f t="shared" si="18"/>
        <v>3437.28</v>
      </c>
    </row>
    <row r="35" spans="1:14" ht="22.5" customHeight="1" thickBot="1" x14ac:dyDescent="0.3">
      <c r="A35" s="4" t="s">
        <v>6</v>
      </c>
      <c r="B35" s="11">
        <f t="shared" ref="B35:J35" si="21">2429.9*2.74</f>
        <v>6657.9260000000004</v>
      </c>
      <c r="C35" s="11">
        <f t="shared" si="21"/>
        <v>6657.9260000000004</v>
      </c>
      <c r="D35" s="11">
        <f t="shared" si="21"/>
        <v>6657.9260000000004</v>
      </c>
      <c r="E35" s="11">
        <f t="shared" si="21"/>
        <v>6657.9260000000004</v>
      </c>
      <c r="F35" s="11">
        <f t="shared" si="21"/>
        <v>6657.9260000000004</v>
      </c>
      <c r="G35" s="11">
        <f t="shared" si="21"/>
        <v>6657.9260000000004</v>
      </c>
      <c r="H35" s="11">
        <f t="shared" si="21"/>
        <v>6657.9260000000004</v>
      </c>
      <c r="I35" s="11">
        <f t="shared" si="21"/>
        <v>6657.9260000000004</v>
      </c>
      <c r="J35" s="11">
        <f t="shared" si="21"/>
        <v>6657.9260000000004</v>
      </c>
      <c r="K35" s="11">
        <f>2429.9*2.87</f>
        <v>6973.8130000000001</v>
      </c>
      <c r="L35" s="11">
        <f t="shared" ref="L35:M35" si="22">2429.9*2.87</f>
        <v>6973.8130000000001</v>
      </c>
      <c r="M35" s="11">
        <f t="shared" si="22"/>
        <v>6973.8130000000001</v>
      </c>
      <c r="N35" s="11">
        <f t="shared" si="18"/>
        <v>80842.772999999986</v>
      </c>
    </row>
    <row r="36" spans="1:14" ht="21.75" hidden="1" customHeight="1" thickBot="1" x14ac:dyDescent="0.3">
      <c r="A36" s="4" t="s">
        <v>26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>
        <f t="shared" si="18"/>
        <v>0</v>
      </c>
    </row>
    <row r="37" spans="1:14" ht="24.75" customHeight="1" thickBot="1" x14ac:dyDescent="0.3">
      <c r="A37" s="4" t="s">
        <v>14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6524.5</v>
      </c>
      <c r="N37" s="11">
        <f t="shared" si="18"/>
        <v>6524.5</v>
      </c>
    </row>
    <row r="38" spans="1:14" ht="24.75" customHeight="1" thickBot="1" x14ac:dyDescent="0.3">
      <c r="A38" s="4" t="s">
        <v>28</v>
      </c>
      <c r="B38" s="11">
        <v>900</v>
      </c>
      <c r="C38" s="11">
        <v>900</v>
      </c>
      <c r="D38" s="11">
        <v>900</v>
      </c>
      <c r="E38" s="11">
        <v>900</v>
      </c>
      <c r="F38" s="11">
        <v>900</v>
      </c>
      <c r="G38" s="11">
        <v>900</v>
      </c>
      <c r="H38" s="11">
        <v>900</v>
      </c>
      <c r="I38" s="11">
        <v>900</v>
      </c>
      <c r="J38" s="11">
        <v>900</v>
      </c>
      <c r="K38" s="11">
        <v>900</v>
      </c>
      <c r="L38" s="11">
        <v>900</v>
      </c>
      <c r="M38" s="11">
        <v>900</v>
      </c>
      <c r="N38" s="11">
        <f t="shared" si="18"/>
        <v>10800</v>
      </c>
    </row>
    <row r="39" spans="1:14" ht="24" customHeight="1" thickBot="1" x14ac:dyDescent="0.3">
      <c r="A39" s="4" t="s">
        <v>10</v>
      </c>
      <c r="B39" s="11">
        <v>0</v>
      </c>
      <c r="C39" s="11">
        <v>0</v>
      </c>
      <c r="D39" s="11">
        <f>827.9+9205.4+552.8+7499.6</f>
        <v>18085.699999999997</v>
      </c>
      <c r="E39" s="11">
        <v>0</v>
      </c>
      <c r="F39" s="11">
        <f>61550+73840+1469.3</f>
        <v>136859.29999999999</v>
      </c>
      <c r="G39" s="11">
        <v>0</v>
      </c>
      <c r="H39" s="11">
        <v>0</v>
      </c>
      <c r="I39" s="11">
        <f>12535.6+1656.8</f>
        <v>14192.4</v>
      </c>
      <c r="J39" s="11">
        <f>545.4+210</f>
        <v>755.4</v>
      </c>
      <c r="K39" s="11">
        <f>3788.6+939.9+7500</f>
        <v>12228.5</v>
      </c>
      <c r="L39" s="11">
        <f>36594.91</f>
        <v>36594.910000000003</v>
      </c>
      <c r="M39" s="11">
        <v>0</v>
      </c>
      <c r="N39" s="11">
        <f t="shared" si="18"/>
        <v>218716.21</v>
      </c>
    </row>
    <row r="40" spans="1:14" ht="22.5" customHeight="1" thickBot="1" x14ac:dyDescent="0.3">
      <c r="A40" s="9" t="s">
        <v>24</v>
      </c>
      <c r="B40" s="10">
        <f t="shared" ref="B40:M40" si="23">SUM(B26:B39)</f>
        <v>39679.477509999997</v>
      </c>
      <c r="C40" s="10">
        <f t="shared" si="23"/>
        <v>35768.579579999998</v>
      </c>
      <c r="D40" s="10">
        <f t="shared" si="23"/>
        <v>53130.030349999994</v>
      </c>
      <c r="E40" s="10">
        <f t="shared" si="23"/>
        <v>36038.312289999994</v>
      </c>
      <c r="F40" s="10">
        <f t="shared" si="23"/>
        <v>173672.09815999999</v>
      </c>
      <c r="G40" s="10">
        <f t="shared" si="23"/>
        <v>34930.151209999996</v>
      </c>
      <c r="H40" s="10">
        <f t="shared" si="23"/>
        <v>36987.245719999999</v>
      </c>
      <c r="I40" s="10">
        <f t="shared" si="23"/>
        <v>50034.951589999997</v>
      </c>
      <c r="J40" s="10">
        <f t="shared" si="23"/>
        <v>36826.999219999998</v>
      </c>
      <c r="K40" s="10">
        <f t="shared" si="23"/>
        <v>47838.396979999998</v>
      </c>
      <c r="L40" s="10">
        <f t="shared" si="23"/>
        <v>73170.104720000003</v>
      </c>
      <c r="M40" s="10">
        <f t="shared" si="23"/>
        <v>43788.264109999996</v>
      </c>
      <c r="N40" s="10">
        <f>SUM(B40:M40)</f>
        <v>661864.61144000001</v>
      </c>
    </row>
    <row r="41" spans="1:14" ht="23.25" customHeight="1" thickBot="1" x14ac:dyDescent="0.3">
      <c r="A41" s="4" t="s">
        <v>5</v>
      </c>
      <c r="B41" s="18">
        <f t="shared" ref="B41:N41" si="24">B16-B40</f>
        <v>-1814.7375099999917</v>
      </c>
      <c r="C41" s="18">
        <f t="shared" si="24"/>
        <v>3609.5704200000037</v>
      </c>
      <c r="D41" s="18">
        <f t="shared" si="24"/>
        <v>-22044.030349999994</v>
      </c>
      <c r="E41" s="18">
        <f t="shared" si="24"/>
        <v>37797.207709999995</v>
      </c>
      <c r="F41" s="18">
        <f t="shared" si="24"/>
        <v>-132449.97816</v>
      </c>
      <c r="G41" s="18">
        <f t="shared" si="24"/>
        <v>3439.0987900000036</v>
      </c>
      <c r="H41" s="18">
        <f t="shared" si="24"/>
        <v>6531.1842800000086</v>
      </c>
      <c r="I41" s="18">
        <f t="shared" si="24"/>
        <v>-7376.3715899999952</v>
      </c>
      <c r="J41" s="18">
        <f t="shared" si="24"/>
        <v>-2485.6292199999953</v>
      </c>
      <c r="K41" s="18">
        <f t="shared" si="24"/>
        <v>-19197.006979999998</v>
      </c>
      <c r="L41" s="18">
        <f t="shared" si="24"/>
        <v>-38882.534720000003</v>
      </c>
      <c r="M41" s="18">
        <f t="shared" si="24"/>
        <v>41711.275889999997</v>
      </c>
      <c r="N41" s="11">
        <f t="shared" si="24"/>
        <v>-131161.95143999998</v>
      </c>
    </row>
    <row r="42" spans="1:14" ht="23.25" customHeight="1" thickBot="1" x14ac:dyDescent="0.3">
      <c r="A42" s="4" t="s">
        <v>7</v>
      </c>
      <c r="B42" s="14">
        <f t="shared" ref="B42:N42" si="25">B5+B41</f>
        <v>-434607.00751000002</v>
      </c>
      <c r="C42" s="14">
        <f t="shared" si="25"/>
        <v>-430997.43709000002</v>
      </c>
      <c r="D42" s="14">
        <f t="shared" si="25"/>
        <v>-453041.46744000004</v>
      </c>
      <c r="E42" s="14">
        <f t="shared" si="25"/>
        <v>-415244.25973000005</v>
      </c>
      <c r="F42" s="14">
        <f t="shared" si="25"/>
        <v>-547694.23788999999</v>
      </c>
      <c r="G42" s="14">
        <f t="shared" si="25"/>
        <v>-544255.13910000003</v>
      </c>
      <c r="H42" s="14">
        <f t="shared" si="25"/>
        <v>-537723.95481999998</v>
      </c>
      <c r="I42" s="14">
        <f t="shared" si="25"/>
        <v>-545100.32640999998</v>
      </c>
      <c r="J42" s="14">
        <f t="shared" si="25"/>
        <v>-547585.95562999998</v>
      </c>
      <c r="K42" s="14">
        <f t="shared" si="25"/>
        <v>-566782.96260999993</v>
      </c>
      <c r="L42" s="14">
        <f t="shared" si="25"/>
        <v>-605665.49732999993</v>
      </c>
      <c r="M42" s="14">
        <f t="shared" si="25"/>
        <v>-563954.22143999988</v>
      </c>
      <c r="N42" s="14">
        <f t="shared" si="25"/>
        <v>-563954.22143999999</v>
      </c>
    </row>
    <row r="43" spans="1:14" ht="27" customHeight="1" thickBot="1" x14ac:dyDescent="0.3">
      <c r="A43" s="15" t="s">
        <v>11</v>
      </c>
      <c r="B43" s="19">
        <f t="shared" ref="B43:M43" si="26">B6+B16-B7</f>
        <v>-267716.88</v>
      </c>
      <c r="C43" s="19">
        <f t="shared" si="26"/>
        <v>-280060.81</v>
      </c>
      <c r="D43" s="19">
        <f t="shared" si="26"/>
        <v>-296340.45</v>
      </c>
      <c r="E43" s="19">
        <f t="shared" si="26"/>
        <v>-269494.34000000003</v>
      </c>
      <c r="F43" s="19">
        <f t="shared" si="26"/>
        <v>-276321.23000000004</v>
      </c>
      <c r="G43" s="19">
        <f t="shared" si="26"/>
        <v>-286802.18000000005</v>
      </c>
      <c r="H43" s="19">
        <f t="shared" si="26"/>
        <v>-290337.63000000006</v>
      </c>
      <c r="I43" s="19">
        <f t="shared" si="26"/>
        <v>-296654.45000000007</v>
      </c>
      <c r="J43" s="19">
        <f t="shared" si="26"/>
        <v>-310149.41000000009</v>
      </c>
      <c r="K43" s="19">
        <f t="shared" si="26"/>
        <v>-331506.10000000009</v>
      </c>
      <c r="L43" s="19">
        <f t="shared" si="26"/>
        <v>-346581.27000000008</v>
      </c>
      <c r="M43" s="19">
        <f t="shared" si="26"/>
        <v>-311247.71000000008</v>
      </c>
      <c r="N43" s="17">
        <f t="shared" ref="N43" si="27">N6+N16-N7</f>
        <v>-311247.71000000008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2024-03-04T02:13:43Z</cp:lastPrinted>
  <dcterms:created xsi:type="dcterms:W3CDTF">2011-06-06T03:25:48Z</dcterms:created>
  <dcterms:modified xsi:type="dcterms:W3CDTF">2024-03-04T02:15:14Z</dcterms:modified>
</cp:coreProperties>
</file>