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M37" i="1" l="1"/>
  <c r="L37" i="1" l="1"/>
  <c r="L30" i="1" l="1"/>
  <c r="K37" i="1" l="1"/>
  <c r="M28" i="1" l="1"/>
  <c r="M17" i="1"/>
  <c r="M27" i="1"/>
  <c r="M9" i="1"/>
  <c r="L28" i="1" l="1"/>
  <c r="L17" i="1"/>
  <c r="L27" i="1"/>
  <c r="L9" i="1"/>
  <c r="K28" i="1" l="1"/>
  <c r="K17" i="1"/>
  <c r="K27" i="1"/>
  <c r="K9" i="1"/>
  <c r="K34" i="1" l="1"/>
  <c r="L34" i="1"/>
  <c r="M34" i="1"/>
  <c r="K29" i="1"/>
  <c r="L29" i="1"/>
  <c r="M29" i="1"/>
  <c r="K26" i="1"/>
  <c r="L26" i="1"/>
  <c r="M26" i="1"/>
  <c r="K25" i="1"/>
  <c r="L25" i="1"/>
  <c r="M25" i="1"/>
  <c r="N36" i="1" l="1"/>
  <c r="J37" i="1" l="1"/>
  <c r="I37" i="1" l="1"/>
  <c r="H37" i="1" l="1"/>
  <c r="I34" i="1" l="1"/>
  <c r="J34" i="1"/>
  <c r="H34" i="1"/>
  <c r="J28" i="1" l="1"/>
  <c r="J17" i="1"/>
  <c r="J27" i="1"/>
  <c r="N14" i="1"/>
  <c r="J9" i="1"/>
  <c r="I28" i="1" l="1"/>
  <c r="N22" i="1"/>
  <c r="I17" i="1"/>
  <c r="I27" i="1"/>
  <c r="I9" i="1" l="1"/>
  <c r="H28" i="1" l="1"/>
  <c r="H17" i="1"/>
  <c r="H27" i="1"/>
  <c r="H9" i="1"/>
  <c r="H29" i="1" l="1"/>
  <c r="I29" i="1"/>
  <c r="J29" i="1"/>
  <c r="H26" i="1"/>
  <c r="I26" i="1"/>
  <c r="J26" i="1"/>
  <c r="H25" i="1"/>
  <c r="I25" i="1"/>
  <c r="J25" i="1"/>
  <c r="G37" i="1" l="1"/>
  <c r="F37" i="1" l="1"/>
  <c r="G28" i="1" l="1"/>
  <c r="G17" i="1"/>
  <c r="G27" i="1"/>
  <c r="G9" i="1"/>
  <c r="F28" i="1" l="1"/>
  <c r="F17" i="1"/>
  <c r="F27" i="1"/>
  <c r="F9" i="1"/>
  <c r="E28" i="1" l="1"/>
  <c r="E17" i="1"/>
  <c r="E27" i="1"/>
  <c r="E9" i="1"/>
  <c r="E37" i="1" l="1"/>
  <c r="E34" i="1" l="1"/>
  <c r="F34" i="1"/>
  <c r="G34" i="1"/>
  <c r="E29" i="1"/>
  <c r="F29" i="1"/>
  <c r="G29" i="1"/>
  <c r="E26" i="1"/>
  <c r="F26" i="1"/>
  <c r="G26" i="1"/>
  <c r="E25" i="1"/>
  <c r="F25" i="1"/>
  <c r="G25" i="1"/>
  <c r="D37" i="1" l="1"/>
  <c r="C37" i="1" l="1"/>
  <c r="D28" i="1" l="1"/>
  <c r="D17" i="1"/>
  <c r="D27" i="1"/>
  <c r="D9" i="1"/>
  <c r="C28" i="1" l="1"/>
  <c r="C17" i="1"/>
  <c r="C27" i="1"/>
  <c r="C9" i="1"/>
  <c r="B28" i="1" l="1"/>
  <c r="B17" i="1"/>
  <c r="B27" i="1"/>
  <c r="B9" i="1"/>
  <c r="B37" i="1" l="1"/>
  <c r="C34" i="1" l="1"/>
  <c r="D34" i="1"/>
  <c r="C29" i="1"/>
  <c r="D29" i="1"/>
  <c r="C25" i="1"/>
  <c r="D25" i="1"/>
  <c r="C26" i="1"/>
  <c r="D26" i="1"/>
  <c r="B34" i="1"/>
  <c r="B29" i="1"/>
  <c r="B26" i="1"/>
  <c r="B25" i="1"/>
  <c r="N7" i="1" l="1"/>
  <c r="N6" i="1" l="1"/>
  <c r="J16" i="1"/>
  <c r="N9" i="1" l="1"/>
  <c r="L16" i="1"/>
  <c r="L8" i="1"/>
  <c r="K8" i="1"/>
  <c r="N25" i="1"/>
  <c r="N26" i="1"/>
  <c r="N29" i="1"/>
  <c r="N30" i="1"/>
  <c r="N31" i="1"/>
  <c r="N32" i="1"/>
  <c r="N33" i="1"/>
  <c r="N34" i="1"/>
  <c r="N35" i="1"/>
  <c r="N18" i="1"/>
  <c r="N19" i="1"/>
  <c r="N20" i="1"/>
  <c r="N21" i="1"/>
  <c r="N23" i="1"/>
  <c r="N17" i="1"/>
  <c r="K16" i="1"/>
  <c r="M16" i="1"/>
  <c r="N10" i="1"/>
  <c r="N11" i="1"/>
  <c r="N12" i="1"/>
  <c r="N13" i="1"/>
  <c r="N15" i="1"/>
  <c r="M38" i="1" l="1"/>
  <c r="L38" i="1"/>
  <c r="L39" i="1" s="1"/>
  <c r="M8" i="1"/>
  <c r="M39" i="1" l="1"/>
  <c r="K38" i="1"/>
  <c r="K39" i="1" l="1"/>
  <c r="H16" i="1" l="1"/>
  <c r="I16" i="1"/>
  <c r="H8" i="1"/>
  <c r="I8" i="1"/>
  <c r="J8" i="1"/>
  <c r="J38" i="1" l="1"/>
  <c r="I38" i="1"/>
  <c r="I39" i="1" s="1"/>
  <c r="N37" i="1" l="1"/>
  <c r="J39" i="1"/>
  <c r="H38" i="1"/>
  <c r="H39" i="1" l="1"/>
  <c r="G8" i="1"/>
  <c r="E16" i="1"/>
  <c r="F16" i="1"/>
  <c r="G16" i="1"/>
  <c r="E8" i="1"/>
  <c r="F8" i="1"/>
  <c r="D16" i="1"/>
  <c r="D8" i="1"/>
  <c r="C16" i="1"/>
  <c r="C8" i="1"/>
  <c r="B16" i="1"/>
  <c r="B8" i="1"/>
  <c r="N16" i="1" l="1"/>
  <c r="N8" i="1"/>
  <c r="G38" i="1"/>
  <c r="G39" i="1" s="1"/>
  <c r="B38" i="1"/>
  <c r="B41" i="1"/>
  <c r="C38" i="1"/>
  <c r="C39" i="1" s="1"/>
  <c r="N28" i="1"/>
  <c r="N27" i="1"/>
  <c r="E38" i="1"/>
  <c r="E39" i="1" s="1"/>
  <c r="D38" i="1"/>
  <c r="D39" i="1" s="1"/>
  <c r="F38" i="1"/>
  <c r="B39" i="1" l="1"/>
  <c r="B40" i="1" s="1"/>
  <c r="N38" i="1"/>
  <c r="F39" i="1"/>
  <c r="C7" i="1"/>
  <c r="C41" i="1" s="1"/>
  <c r="D7" i="1" s="1"/>
  <c r="D41" i="1" s="1"/>
  <c r="N39" i="1" l="1"/>
  <c r="N40" i="1" s="1"/>
  <c r="E7" i="1"/>
  <c r="E41" i="1" s="1"/>
  <c r="F7" i="1" s="1"/>
  <c r="F41" i="1" s="1"/>
  <c r="N41" i="1"/>
  <c r="N43" i="1" s="1"/>
  <c r="G7" i="1" l="1"/>
  <c r="G41" i="1" l="1"/>
  <c r="H7" i="1" s="1"/>
  <c r="H41" i="1" s="1"/>
  <c r="I7" i="1" s="1"/>
  <c r="I41" i="1" s="1"/>
  <c r="C6" i="1"/>
  <c r="C40" i="1" s="1"/>
  <c r="J7" i="1" l="1"/>
  <c r="J41" i="1" s="1"/>
  <c r="D6" i="1"/>
  <c r="D40" i="1" s="1"/>
  <c r="K7" i="1" l="1"/>
  <c r="K41" i="1" s="1"/>
  <c r="L7" i="1" s="1"/>
  <c r="L41" i="1" s="1"/>
  <c r="E6" i="1"/>
  <c r="E40" i="1" s="1"/>
  <c r="M7" i="1" l="1"/>
  <c r="M41" i="1" s="1"/>
  <c r="F6" i="1"/>
  <c r="F40" i="1" s="1"/>
  <c r="G6" i="1" s="1"/>
  <c r="G40" i="1" l="1"/>
  <c r="H6" i="1" s="1"/>
  <c r="H40" i="1" s="1"/>
  <c r="I6" i="1" s="1"/>
  <c r="I40" i="1" s="1"/>
  <c r="J6" i="1" s="1"/>
  <c r="J40" i="1" s="1"/>
  <c r="K6" i="1" s="1"/>
  <c r="K40" i="1" s="1"/>
  <c r="L6" i="1" s="1"/>
  <c r="L40" i="1" s="1"/>
  <c r="M6" i="1" s="1"/>
  <c r="M40" i="1" s="1"/>
</calcChain>
</file>

<file path=xl/sharedStrings.xml><?xml version="1.0" encoding="utf-8"?>
<sst xmlns="http://schemas.openxmlformats.org/spreadsheetml/2006/main" count="54" uniqueCount="44">
  <si>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</si>
  <si>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</si>
  <si>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</si>
  <si>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</si>
  <si>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</si>
  <si>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</si>
  <si>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</si>
  <si>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</si>
  <si>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</si>
  <si>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</si>
  <si>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</si>
  <si>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</si>
  <si>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</si>
  <si>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</si>
  <si>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</si>
  <si>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</si>
  <si>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</si>
  <si>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</si>
  <si>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</si>
  <si>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</si>
  <si>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</si>
  <si>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</si>
  <si>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</si>
  <si>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</si>
  <si>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 xml:space="preserve">                 ОТЧЕТ по дому Матросова, 45</t>
  </si>
  <si>
    <t xml:space="preserve">Тех. обслуживание общедомовых приборов учета </t>
  </si>
  <si>
    <t>Отведение сточных вод ОИ</t>
  </si>
  <si>
    <t xml:space="preserve">Содержание жилья и текущий ремонт,  ОПУ </t>
  </si>
  <si>
    <t>Корректировка задолженности по оплате по решению Арбитражного суда за предыдущие периоды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</si>
  <si>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</si>
  <si>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</si>
  <si>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</si>
  <si>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</si>
  <si>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</si>
  <si>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</si>
  <si>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2023г.</t>
  </si>
  <si>
    <t>Август 2023г.</t>
  </si>
  <si>
    <t>Сентябрь 2023г.</t>
  </si>
  <si>
    <t>Октябрь 2023г</t>
  </si>
  <si>
    <t>Ноябрь 2023г</t>
  </si>
  <si>
    <t>Декабрь 2023г</t>
  </si>
  <si>
    <t>Всего:                       за  2023г.</t>
  </si>
  <si>
    <t>Возмещение расходов совета МКД</t>
  </si>
  <si>
    <r>
      <t xml:space="preserve">за период </t>
    </r>
    <r>
      <rPr>
        <b/>
        <u/>
        <sz val="16"/>
        <rFont val="Times New Roman"/>
        <family val="1"/>
        <charset val="204"/>
      </rPr>
      <t>01.01.2023г. по 31.12.2023г.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</si>
</sst>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7" fillId="0" borderId="0" xfId="0" applyFont="1"/>
    <xf numFmtId="0" fontId="0" fillId="0" borderId="0" xfId="0" applyBorder="1"/>
    <xf numFmtId="0" fontId="8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164" fontId="9" fillId="2" borderId="4" xfId="0" applyNumberFormat="1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vertical="top" wrapText="1"/>
    </xf>
    <xf numFmtId="164" fontId="9" fillId="3" borderId="4" xfId="0" applyNumberFormat="1" applyFont="1" applyFill="1" applyBorder="1" applyAlignment="1">
      <alignment horizontal="left" vertical="top" wrapText="1"/>
    </xf>
    <xf numFmtId="164" fontId="8" fillId="0" borderId="4" xfId="0" applyNumberFormat="1" applyFont="1" applyBorder="1" applyAlignment="1">
      <alignment horizontal="left" vertical="top" wrapText="1"/>
    </xf>
    <xf numFmtId="0" fontId="9" fillId="4" borderId="3" xfId="0" applyFont="1" applyFill="1" applyBorder="1" applyAlignment="1">
      <alignment vertical="top" wrapText="1"/>
    </xf>
    <xf numFmtId="164" fontId="9" fillId="4" borderId="4" xfId="0" applyNumberFormat="1" applyFont="1" applyFill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164" fontId="9" fillId="0" borderId="5" xfId="0" applyNumberFormat="1" applyFont="1" applyBorder="1" applyAlignment="1">
      <alignment horizontal="left" vertical="top" wrapText="1"/>
    </xf>
    <xf numFmtId="164" fontId="9" fillId="0" borderId="2" xfId="0" applyNumberFormat="1" applyFont="1" applyBorder="1" applyAlignment="1">
      <alignment horizontal="left" vertical="top" wrapText="1"/>
    </xf>
    <xf numFmtId="164" fontId="8" fillId="0" borderId="6" xfId="0" applyNumberFormat="1" applyFont="1" applyBorder="1" applyAlignment="1">
      <alignment horizontal="left" vertical="top" wrapText="1"/>
    </xf>
    <xf numFmtId="164" fontId="8" fillId="0" borderId="4" xfId="0" applyNumberFormat="1" applyFont="1" applyFill="1" applyBorder="1" applyAlignment="1">
      <alignment horizontal="left" vertical="top" wrapText="1"/>
    </xf>
    <xf numFmtId="4" fontId="9" fillId="0" borderId="1" xfId="0" applyNumberFormat="1" applyFont="1" applyBorder="1" applyAlignment="1">
      <alignment horizontal="left"/>
    </xf>
    <xf numFmtId="164" fontId="9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/>
    <xf numFmtId="0" fontId="9" fillId="0" borderId="7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7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topLeftCell="C1" zoomScale="75" workbookViewId="0">
      <selection activeCell="B35" sqref="B1:J1048576"/>
    </sheetView>
  </sheetViews>
  <sheetFormatPr defaultRowHeight="13.2" x14ac:dyDescent="0.25"/>
  <cols>
    <col min="1" max="1" width="58.6640625" customWidth="1"/>
    <col min="2" max="2" width="15.33203125" customWidth="1"/>
    <col min="3" max="3" width="13.88671875" customWidth="1"/>
    <col min="4" max="4" width="14.6640625" customWidth="1"/>
    <col min="5" max="5" width="14.33203125" customWidth="1"/>
    <col min="6" max="6" width="14.6640625" customWidth="1"/>
    <col min="7" max="7" width="14.88671875" customWidth="1"/>
    <col min="8" max="8" width="14.5546875" customWidth="1"/>
    <col min="9" max="9" width="15" customWidth="1"/>
    <col min="10" max="13" width="15.44140625" customWidth="1"/>
    <col min="14" max="14" width="15.88671875" customWidth="1"/>
  </cols>
  <sheetData>
    <row r="1" spans="1:18" ht="20.25" customHeight="1" x14ac:dyDescent="0.4">
      <c r="A1" s="22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20.399999999999999" x14ac:dyDescent="0.35">
      <c r="A2" s="24" t="s">
        <v>43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8" ht="7.5" customHeight="1" thickBot="1" x14ac:dyDescent="0.3">
      <c r="A3" s="1"/>
      <c r="R3" s="2"/>
    </row>
    <row r="4" spans="1:18" ht="3" hidden="1" customHeight="1" thickBot="1" x14ac:dyDescent="0.3">
      <c r="A4" s="1"/>
    </row>
    <row r="5" spans="1:18" ht="38.25" customHeight="1" thickBot="1" x14ac:dyDescent="0.3">
      <c r="A5" s="5" t="s">
        <v>0</v>
      </c>
      <c r="B5" s="6" t="s">
        <v>29</v>
      </c>
      <c r="C5" s="6" t="s">
        <v>30</v>
      </c>
      <c r="D5" s="6" t="s">
        <v>31</v>
      </c>
      <c r="E5" s="6" t="s">
        <v>32</v>
      </c>
      <c r="F5" s="6" t="s">
        <v>33</v>
      </c>
      <c r="G5" s="6" t="s">
        <v>34</v>
      </c>
      <c r="H5" s="6" t="s">
        <v>35</v>
      </c>
      <c r="I5" s="6" t="s">
        <v>36</v>
      </c>
      <c r="J5" s="6" t="s">
        <v>37</v>
      </c>
      <c r="K5" s="6" t="s">
        <v>38</v>
      </c>
      <c r="L5" s="6" t="s">
        <v>39</v>
      </c>
      <c r="M5" s="6" t="s">
        <v>40</v>
      </c>
      <c r="N5" s="6" t="s">
        <v>41</v>
      </c>
    </row>
    <row r="6" spans="1:18" ht="23.25" customHeight="1" thickBot="1" x14ac:dyDescent="0.3">
      <c r="A6" s="7" t="s">
        <v>15</v>
      </c>
      <c r="B6" s="8">
        <v>-517782.27</v>
      </c>
      <c r="C6" s="8">
        <f>B40</f>
        <v>-520221.06023</v>
      </c>
      <c r="D6" s="8">
        <f t="shared" ref="D6:D7" si="0">C40</f>
        <v>-573781.10765999998</v>
      </c>
      <c r="E6" s="8">
        <f t="shared" ref="E6:E7" si="1">D40</f>
        <v>-670575.86339000007</v>
      </c>
      <c r="F6" s="8">
        <f t="shared" ref="F6:F7" si="2">E40</f>
        <v>-660856.67192000011</v>
      </c>
      <c r="G6" s="8">
        <f>F40</f>
        <v>-651990.5162500001</v>
      </c>
      <c r="H6" s="8">
        <f t="shared" ref="H6:J7" si="3">G40</f>
        <v>-571067.8738200001</v>
      </c>
      <c r="I6" s="8">
        <f t="shared" si="3"/>
        <v>-609613.2924700001</v>
      </c>
      <c r="J6" s="8">
        <f t="shared" si="3"/>
        <v>-592865.77676000004</v>
      </c>
      <c r="K6" s="8">
        <f t="shared" ref="K6:K7" si="4">J40</f>
        <v>-606724.02020000003</v>
      </c>
      <c r="L6" s="8">
        <f t="shared" ref="L6:L7" si="5">K40</f>
        <v>-603627.94143000001</v>
      </c>
      <c r="M6" s="8">
        <f t="shared" ref="M6:M7" si="6">L40</f>
        <v>-589668.23268000002</v>
      </c>
      <c r="N6" s="8">
        <f>B6</f>
        <v>-517782.27</v>
      </c>
    </row>
    <row r="7" spans="1:18" ht="21" customHeight="1" thickBot="1" x14ac:dyDescent="0.3">
      <c r="A7" s="7" t="s">
        <v>13</v>
      </c>
      <c r="B7" s="8">
        <v>-699695.61</v>
      </c>
      <c r="C7" s="8">
        <f>B41</f>
        <v>-710732.67</v>
      </c>
      <c r="D7" s="8">
        <f t="shared" si="0"/>
        <v>-719056.49</v>
      </c>
      <c r="E7" s="8">
        <f t="shared" si="1"/>
        <v>-731495.7</v>
      </c>
      <c r="F7" s="8">
        <f t="shared" si="2"/>
        <v>-733675.14999999991</v>
      </c>
      <c r="G7" s="8">
        <f t="shared" ref="G7" si="7">F41</f>
        <v>-724439.73999999987</v>
      </c>
      <c r="H7" s="8">
        <f t="shared" si="3"/>
        <v>-652904.04999999993</v>
      </c>
      <c r="I7" s="8">
        <f t="shared" si="3"/>
        <v>-657036.5199999999</v>
      </c>
      <c r="J7" s="8">
        <f t="shared" si="3"/>
        <v>-666339.68999999994</v>
      </c>
      <c r="K7" s="8">
        <f t="shared" si="4"/>
        <v>-677106.46</v>
      </c>
      <c r="L7" s="8">
        <f t="shared" si="5"/>
        <v>-664925.69999999995</v>
      </c>
      <c r="M7" s="8">
        <f t="shared" si="6"/>
        <v>-673336.11999999988</v>
      </c>
      <c r="N7" s="8">
        <f>B7</f>
        <v>-699695.61</v>
      </c>
    </row>
    <row r="8" spans="1:18" ht="20.25" customHeight="1" thickBot="1" x14ac:dyDescent="0.3">
      <c r="A8" s="9" t="s">
        <v>12</v>
      </c>
      <c r="B8" s="10">
        <f t="shared" ref="B8:M8" si="8">SUM(B9:B15)</f>
        <v>58409.51</v>
      </c>
      <c r="C8" s="10">
        <f t="shared" si="8"/>
        <v>58409.51</v>
      </c>
      <c r="D8" s="10">
        <f t="shared" si="8"/>
        <v>58409.51</v>
      </c>
      <c r="E8" s="10">
        <f t="shared" si="8"/>
        <v>58409.51</v>
      </c>
      <c r="F8" s="10">
        <f t="shared" si="8"/>
        <v>58409.51</v>
      </c>
      <c r="G8" s="10">
        <f t="shared" si="8"/>
        <v>63509.79</v>
      </c>
      <c r="H8" s="10">
        <f t="shared" si="8"/>
        <v>67265.75</v>
      </c>
      <c r="I8" s="10">
        <f t="shared" si="8"/>
        <v>78806.63</v>
      </c>
      <c r="J8" s="10">
        <f t="shared" si="8"/>
        <v>78403.180000000008</v>
      </c>
      <c r="K8" s="10">
        <f t="shared" si="8"/>
        <v>76838.31</v>
      </c>
      <c r="L8" s="10">
        <f t="shared" si="8"/>
        <v>92554.45</v>
      </c>
      <c r="M8" s="10">
        <f t="shared" si="8"/>
        <v>72982.819999999992</v>
      </c>
      <c r="N8" s="10">
        <f>SUM(B8:M8)</f>
        <v>822408.47999999986</v>
      </c>
    </row>
    <row r="9" spans="1:18" ht="24.75" customHeight="1" thickBot="1" x14ac:dyDescent="0.3">
      <c r="A9" s="4" t="s">
        <v>27</v>
      </c>
      <c r="B9" s="11">
        <f t="shared" ref="B9:G9" si="9">54767.5+1481.01</f>
        <v>56248.51</v>
      </c>
      <c r="C9" s="11">
        <f t="shared" si="9"/>
        <v>56248.51</v>
      </c>
      <c r="D9" s="11">
        <f t="shared" si="9"/>
        <v>56248.51</v>
      </c>
      <c r="E9" s="11">
        <f t="shared" si="9"/>
        <v>56248.51</v>
      </c>
      <c r="F9" s="11">
        <f t="shared" si="9"/>
        <v>56248.51</v>
      </c>
      <c r="G9" s="11">
        <f t="shared" si="9"/>
        <v>56248.51</v>
      </c>
      <c r="H9" s="11">
        <f t="shared" ref="H9:M9" si="10">63623.74+1481.01</f>
        <v>65104.75</v>
      </c>
      <c r="I9" s="11">
        <f t="shared" si="10"/>
        <v>65104.75</v>
      </c>
      <c r="J9" s="11">
        <f t="shared" si="10"/>
        <v>65104.75</v>
      </c>
      <c r="K9" s="11">
        <f t="shared" si="10"/>
        <v>65104.75</v>
      </c>
      <c r="L9" s="11">
        <f t="shared" si="10"/>
        <v>65104.75</v>
      </c>
      <c r="M9" s="11">
        <f t="shared" si="10"/>
        <v>65104.75</v>
      </c>
      <c r="N9" s="11">
        <f>SUM(B9:M9)</f>
        <v>728119.56</v>
      </c>
    </row>
    <row r="10" spans="1:18" ht="24.75" customHeight="1" thickBot="1" x14ac:dyDescent="0.3">
      <c r="A10" s="4" t="s">
        <v>16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20.6</v>
      </c>
      <c r="N10" s="11">
        <f t="shared" ref="N10:N15" si="11">SUM(B10:M10)</f>
        <v>20.6</v>
      </c>
    </row>
    <row r="11" spans="1:18" ht="24.75" customHeight="1" thickBot="1" x14ac:dyDescent="0.3">
      <c r="A11" s="4" t="s">
        <v>17</v>
      </c>
      <c r="B11" s="11">
        <v>474.91</v>
      </c>
      <c r="C11" s="11">
        <v>474.91</v>
      </c>
      <c r="D11" s="11">
        <v>474.91</v>
      </c>
      <c r="E11" s="11">
        <v>474.91</v>
      </c>
      <c r="F11" s="11">
        <v>474.91</v>
      </c>
      <c r="G11" s="11">
        <v>474.91</v>
      </c>
      <c r="H11" s="11">
        <v>474.91</v>
      </c>
      <c r="I11" s="11">
        <v>474.91</v>
      </c>
      <c r="J11" s="11">
        <v>474.91</v>
      </c>
      <c r="K11" s="11">
        <v>474.91</v>
      </c>
      <c r="L11" s="11">
        <v>474.91</v>
      </c>
      <c r="M11" s="11">
        <v>474.91</v>
      </c>
      <c r="N11" s="11">
        <f t="shared" si="11"/>
        <v>5698.9199999999992</v>
      </c>
    </row>
    <row r="12" spans="1:18" ht="24.75" customHeight="1" thickBot="1" x14ac:dyDescent="0.3">
      <c r="A12" s="4" t="s">
        <v>18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5100.28</v>
      </c>
      <c r="H12" s="11">
        <v>0</v>
      </c>
      <c r="I12" s="11">
        <v>0</v>
      </c>
      <c r="J12" s="11">
        <v>5477.96</v>
      </c>
      <c r="K12" s="11">
        <v>3876.09</v>
      </c>
      <c r="L12" s="11">
        <v>19592.23</v>
      </c>
      <c r="M12" s="11">
        <v>0</v>
      </c>
      <c r="N12" s="11">
        <f t="shared" si="11"/>
        <v>34046.559999999998</v>
      </c>
    </row>
    <row r="13" spans="1:18" ht="24.75" customHeight="1" thickBot="1" x14ac:dyDescent="0.3">
      <c r="A13" s="4" t="s">
        <v>26</v>
      </c>
      <c r="B13" s="11">
        <v>916.09</v>
      </c>
      <c r="C13" s="11">
        <v>916.09</v>
      </c>
      <c r="D13" s="11">
        <v>916.09</v>
      </c>
      <c r="E13" s="11">
        <v>916.09</v>
      </c>
      <c r="F13" s="11">
        <v>916.09</v>
      </c>
      <c r="G13" s="11">
        <v>916.09</v>
      </c>
      <c r="H13" s="11">
        <v>916.09</v>
      </c>
      <c r="I13" s="11">
        <v>916.09</v>
      </c>
      <c r="J13" s="11">
        <v>916.09</v>
      </c>
      <c r="K13" s="11">
        <v>916.09</v>
      </c>
      <c r="L13" s="11">
        <v>916.09</v>
      </c>
      <c r="M13" s="11">
        <v>916.09</v>
      </c>
      <c r="N13" s="11">
        <f t="shared" si="11"/>
        <v>10993.08</v>
      </c>
    </row>
    <row r="14" spans="1:18" ht="24.75" customHeight="1" thickBot="1" x14ac:dyDescent="0.3">
      <c r="A14" s="4" t="s">
        <v>42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11540.88</v>
      </c>
      <c r="J14" s="11">
        <v>5659.47</v>
      </c>
      <c r="K14" s="11">
        <v>5696.47</v>
      </c>
      <c r="L14" s="11">
        <v>5696.47</v>
      </c>
      <c r="M14" s="11">
        <v>5696.47</v>
      </c>
      <c r="N14" s="11">
        <f t="shared" si="11"/>
        <v>34289.760000000002</v>
      </c>
    </row>
    <row r="15" spans="1:18" ht="24.75" customHeight="1" thickBot="1" x14ac:dyDescent="0.3">
      <c r="A15" s="4" t="s">
        <v>14</v>
      </c>
      <c r="B15" s="11">
        <v>770</v>
      </c>
      <c r="C15" s="11">
        <v>770</v>
      </c>
      <c r="D15" s="11">
        <v>770</v>
      </c>
      <c r="E15" s="11">
        <v>770</v>
      </c>
      <c r="F15" s="11">
        <v>770</v>
      </c>
      <c r="G15" s="11">
        <v>770</v>
      </c>
      <c r="H15" s="11">
        <v>770</v>
      </c>
      <c r="I15" s="11">
        <v>770</v>
      </c>
      <c r="J15" s="11">
        <v>770</v>
      </c>
      <c r="K15" s="11">
        <v>770</v>
      </c>
      <c r="L15" s="11">
        <v>770</v>
      </c>
      <c r="M15" s="11">
        <v>770</v>
      </c>
      <c r="N15" s="11">
        <f t="shared" si="11"/>
        <v>9240</v>
      </c>
    </row>
    <row r="16" spans="1:18" ht="20.25" customHeight="1" thickBot="1" x14ac:dyDescent="0.3">
      <c r="A16" s="12" t="s">
        <v>8</v>
      </c>
      <c r="B16" s="13">
        <f>SUM(B17:B23)</f>
        <v>47372.45</v>
      </c>
      <c r="C16" s="13">
        <f>SUM(C17:C23)</f>
        <v>50085.69</v>
      </c>
      <c r="D16" s="13">
        <f>SUM(D17:D23)</f>
        <v>45970.299999999996</v>
      </c>
      <c r="E16" s="13">
        <f t="shared" ref="E16:M16" si="12">SUM(E17:E23)</f>
        <v>56230.06</v>
      </c>
      <c r="F16" s="13">
        <f t="shared" si="12"/>
        <v>67644.920000000013</v>
      </c>
      <c r="G16" s="13">
        <f t="shared" si="12"/>
        <v>135045.48000000001</v>
      </c>
      <c r="H16" s="13">
        <f t="shared" si="12"/>
        <v>63133.280000000006</v>
      </c>
      <c r="I16" s="13">
        <f t="shared" si="12"/>
        <v>69503.460000000006</v>
      </c>
      <c r="J16" s="13">
        <f t="shared" si="12"/>
        <v>67636.409999999989</v>
      </c>
      <c r="K16" s="13">
        <f t="shared" si="12"/>
        <v>89019.069999999978</v>
      </c>
      <c r="L16" s="13">
        <f t="shared" si="12"/>
        <v>84144.03</v>
      </c>
      <c r="M16" s="13">
        <f t="shared" si="12"/>
        <v>85820.44</v>
      </c>
      <c r="N16" s="13">
        <f>SUM(B16:M16)</f>
        <v>861605.59000000008</v>
      </c>
    </row>
    <row r="17" spans="1:15" ht="24" customHeight="1" thickBot="1" x14ac:dyDescent="0.3">
      <c r="A17" s="4" t="s">
        <v>27</v>
      </c>
      <c r="B17" s="19">
        <f>44194.26+0.09+1153.67</f>
        <v>45348.02</v>
      </c>
      <c r="C17" s="11">
        <f>43493.72+85.83+1376.68</f>
        <v>44956.23</v>
      </c>
      <c r="D17" s="11">
        <f>39909.04+1136.2</f>
        <v>41045.24</v>
      </c>
      <c r="E17" s="11">
        <f>48752.11+6.9+1464.85+1.28</f>
        <v>50225.14</v>
      </c>
      <c r="F17" s="11">
        <f>62115.66-293.96+1858.3+1.88</f>
        <v>63681.880000000005</v>
      </c>
      <c r="G17" s="11">
        <f>122133.13+155.02+3240.86+102.78</f>
        <v>125631.79000000001</v>
      </c>
      <c r="H17" s="11">
        <f>55272+235.23+1406.12+13.2</f>
        <v>56926.55</v>
      </c>
      <c r="I17" s="11">
        <f>64261.46+99.12+1806.78+20.92</f>
        <v>66188.28</v>
      </c>
      <c r="J17" s="11">
        <f>55473.17+1741.46</f>
        <v>57214.63</v>
      </c>
      <c r="K17" s="11">
        <f>74082.98+1349.04</f>
        <v>75432.01999999999</v>
      </c>
      <c r="L17" s="11">
        <f>69819.08+302.84+2145.42+97.6</f>
        <v>72364.94</v>
      </c>
      <c r="M17" s="11">
        <f>62483.72+248.73+1453.65+12.7</f>
        <v>64198.8</v>
      </c>
      <c r="N17" s="11">
        <f>SUM(B17:M17)</f>
        <v>763213.52</v>
      </c>
    </row>
    <row r="18" spans="1:15" ht="26.25" customHeight="1" thickBot="1" x14ac:dyDescent="0.3">
      <c r="A18" s="4" t="s">
        <v>16</v>
      </c>
      <c r="B18" s="11">
        <v>45.9</v>
      </c>
      <c r="C18" s="11">
        <v>68.709999999999994</v>
      </c>
      <c r="D18" s="11">
        <v>74.599999999999994</v>
      </c>
      <c r="E18" s="11">
        <v>184.18</v>
      </c>
      <c r="F18" s="11">
        <v>414.68</v>
      </c>
      <c r="G18" s="11">
        <v>746.41</v>
      </c>
      <c r="H18" s="11">
        <v>205.46</v>
      </c>
      <c r="I18" s="11">
        <v>363.47</v>
      </c>
      <c r="J18" s="11">
        <v>263.2</v>
      </c>
      <c r="K18" s="11">
        <v>774.45</v>
      </c>
      <c r="L18" s="11">
        <v>264.26</v>
      </c>
      <c r="M18" s="11">
        <v>165.82</v>
      </c>
      <c r="N18" s="11">
        <f t="shared" ref="N18:N23" si="13">SUM(B18:M18)</f>
        <v>3571.14</v>
      </c>
    </row>
    <row r="19" spans="1:15" ht="26.25" customHeight="1" thickBot="1" x14ac:dyDescent="0.3">
      <c r="A19" s="4" t="s">
        <v>17</v>
      </c>
      <c r="B19" s="11">
        <v>296.2</v>
      </c>
      <c r="C19" s="11">
        <v>379.05</v>
      </c>
      <c r="D19" s="11">
        <v>345.57</v>
      </c>
      <c r="E19" s="11">
        <v>445.49</v>
      </c>
      <c r="F19" s="11">
        <v>525.92999999999995</v>
      </c>
      <c r="G19" s="11">
        <v>1017.39</v>
      </c>
      <c r="H19" s="11">
        <v>484.19</v>
      </c>
      <c r="I19" s="11">
        <v>477.23</v>
      </c>
      <c r="J19" s="11">
        <v>452.74</v>
      </c>
      <c r="K19" s="11">
        <v>652.98</v>
      </c>
      <c r="L19" s="11">
        <v>551.66999999999996</v>
      </c>
      <c r="M19" s="11">
        <v>469.76</v>
      </c>
      <c r="N19" s="11">
        <f t="shared" si="13"/>
        <v>6098.2000000000007</v>
      </c>
    </row>
    <row r="20" spans="1:15" ht="26.25" customHeight="1" thickBot="1" x14ac:dyDescent="0.3">
      <c r="A20" s="4" t="s">
        <v>18</v>
      </c>
      <c r="B20" s="11">
        <v>580.01</v>
      </c>
      <c r="C20" s="11">
        <v>264.68</v>
      </c>
      <c r="D20" s="11">
        <v>136.72</v>
      </c>
      <c r="E20" s="11">
        <v>563.33000000000004</v>
      </c>
      <c r="F20" s="11">
        <v>1388.32</v>
      </c>
      <c r="G20" s="11">
        <v>4709.8</v>
      </c>
      <c r="H20" s="11">
        <v>4227.22</v>
      </c>
      <c r="I20" s="11">
        <v>1122.19</v>
      </c>
      <c r="J20" s="11">
        <v>843.37</v>
      </c>
      <c r="K20" s="11">
        <v>6082.02</v>
      </c>
      <c r="L20" s="11">
        <v>4427.8900000000003</v>
      </c>
      <c r="M20" s="11">
        <v>15017.91</v>
      </c>
      <c r="N20" s="11">
        <f t="shared" si="13"/>
        <v>39363.460000000006</v>
      </c>
    </row>
    <row r="21" spans="1:15" ht="26.25" customHeight="1" thickBot="1" x14ac:dyDescent="0.3">
      <c r="A21" s="4" t="s">
        <v>26</v>
      </c>
      <c r="B21" s="11">
        <v>702.32</v>
      </c>
      <c r="C21" s="11">
        <v>717.02</v>
      </c>
      <c r="D21" s="11">
        <v>668.17</v>
      </c>
      <c r="E21" s="11">
        <v>811.92</v>
      </c>
      <c r="F21" s="11">
        <v>954.11</v>
      </c>
      <c r="G21" s="11">
        <v>1640.09</v>
      </c>
      <c r="H21" s="11">
        <v>889.86</v>
      </c>
      <c r="I21" s="11">
        <v>867.13</v>
      </c>
      <c r="J21" s="11">
        <v>828.1</v>
      </c>
      <c r="K21" s="11">
        <v>1091.79</v>
      </c>
      <c r="L21" s="11">
        <v>1008.56</v>
      </c>
      <c r="M21" s="11">
        <v>869.64</v>
      </c>
      <c r="N21" s="11">
        <f t="shared" si="13"/>
        <v>11048.71</v>
      </c>
    </row>
    <row r="22" spans="1:15" ht="26.25" customHeight="1" thickBot="1" x14ac:dyDescent="0.3">
      <c r="A22" s="4" t="s">
        <v>42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85.16</v>
      </c>
      <c r="J22" s="11">
        <v>7634.37</v>
      </c>
      <c r="K22" s="11">
        <v>4585.8100000000004</v>
      </c>
      <c r="L22" s="11">
        <v>5126.71</v>
      </c>
      <c r="M22" s="11">
        <v>4698.51</v>
      </c>
      <c r="N22" s="11">
        <f t="shared" si="13"/>
        <v>22130.559999999998</v>
      </c>
    </row>
    <row r="23" spans="1:15" ht="26.25" customHeight="1" thickBot="1" x14ac:dyDescent="0.3">
      <c r="A23" s="4" t="s">
        <v>14</v>
      </c>
      <c r="B23" s="14">
        <v>400</v>
      </c>
      <c r="C23" s="14">
        <v>3700</v>
      </c>
      <c r="D23" s="14">
        <v>3700</v>
      </c>
      <c r="E23" s="14">
        <v>4000</v>
      </c>
      <c r="F23" s="14">
        <v>680</v>
      </c>
      <c r="G23" s="14">
        <v>1300</v>
      </c>
      <c r="H23" s="14">
        <v>400</v>
      </c>
      <c r="I23" s="14">
        <v>400</v>
      </c>
      <c r="J23" s="11">
        <v>400</v>
      </c>
      <c r="K23" s="11">
        <v>400</v>
      </c>
      <c r="L23" s="11">
        <v>400</v>
      </c>
      <c r="M23" s="11">
        <v>400</v>
      </c>
      <c r="N23" s="11">
        <f t="shared" si="13"/>
        <v>16180</v>
      </c>
      <c r="O23" s="3"/>
    </row>
    <row r="24" spans="1:15" ht="21.75" customHeight="1" thickBot="1" x14ac:dyDescent="0.3">
      <c r="A24" s="15" t="s">
        <v>23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7"/>
    </row>
    <row r="25" spans="1:15" ht="19.5" customHeight="1" thickBot="1" x14ac:dyDescent="0.3">
      <c r="A25" s="4" t="s">
        <v>1</v>
      </c>
      <c r="B25" s="11">
        <f>2963.2*0.6</f>
        <v>1777.9199999999998</v>
      </c>
      <c r="C25" s="11">
        <f t="shared" ref="C25:M25" si="14">2963.2*0.6</f>
        <v>1777.9199999999998</v>
      </c>
      <c r="D25" s="11">
        <f t="shared" si="14"/>
        <v>1777.9199999999998</v>
      </c>
      <c r="E25" s="11">
        <f t="shared" si="14"/>
        <v>1777.9199999999998</v>
      </c>
      <c r="F25" s="11">
        <f t="shared" si="14"/>
        <v>1777.9199999999998</v>
      </c>
      <c r="G25" s="11">
        <f t="shared" si="14"/>
        <v>1777.9199999999998</v>
      </c>
      <c r="H25" s="11">
        <f t="shared" si="14"/>
        <v>1777.9199999999998</v>
      </c>
      <c r="I25" s="11">
        <f t="shared" si="14"/>
        <v>1777.9199999999998</v>
      </c>
      <c r="J25" s="11">
        <f t="shared" si="14"/>
        <v>1777.9199999999998</v>
      </c>
      <c r="K25" s="11">
        <f t="shared" si="14"/>
        <v>1777.9199999999998</v>
      </c>
      <c r="L25" s="11">
        <f t="shared" si="14"/>
        <v>1777.9199999999998</v>
      </c>
      <c r="M25" s="11">
        <f t="shared" si="14"/>
        <v>1777.9199999999998</v>
      </c>
      <c r="N25" s="11">
        <f t="shared" ref="N25:N37" si="15">SUM(B25:M25)</f>
        <v>21335.039999999994</v>
      </c>
    </row>
    <row r="26" spans="1:15" ht="22.5" customHeight="1" thickBot="1" x14ac:dyDescent="0.3">
      <c r="A26" s="4" t="s">
        <v>2</v>
      </c>
      <c r="B26" s="11">
        <f t="shared" ref="B26:M26" si="16">2963.2*0.17</f>
        <v>503.74400000000003</v>
      </c>
      <c r="C26" s="11">
        <f t="shared" si="16"/>
        <v>503.74400000000003</v>
      </c>
      <c r="D26" s="11">
        <f t="shared" si="16"/>
        <v>503.74400000000003</v>
      </c>
      <c r="E26" s="11">
        <f t="shared" si="16"/>
        <v>503.74400000000003</v>
      </c>
      <c r="F26" s="11">
        <f t="shared" si="16"/>
        <v>503.74400000000003</v>
      </c>
      <c r="G26" s="11">
        <f t="shared" si="16"/>
        <v>503.74400000000003</v>
      </c>
      <c r="H26" s="11">
        <f t="shared" si="16"/>
        <v>503.74400000000003</v>
      </c>
      <c r="I26" s="11">
        <f t="shared" si="16"/>
        <v>503.74400000000003</v>
      </c>
      <c r="J26" s="11">
        <f t="shared" si="16"/>
        <v>503.74400000000003</v>
      </c>
      <c r="K26" s="11">
        <f t="shared" si="16"/>
        <v>503.74400000000003</v>
      </c>
      <c r="L26" s="11">
        <f t="shared" si="16"/>
        <v>503.74400000000003</v>
      </c>
      <c r="M26" s="11">
        <f t="shared" si="16"/>
        <v>503.74400000000003</v>
      </c>
      <c r="N26" s="11">
        <f t="shared" si="15"/>
        <v>6044.9279999999999</v>
      </c>
    </row>
    <row r="27" spans="1:15" ht="21" customHeight="1" thickBot="1" x14ac:dyDescent="0.3">
      <c r="A27" s="4" t="s">
        <v>3</v>
      </c>
      <c r="B27" s="11">
        <f>57639.51*2.3%</f>
        <v>1325.7087300000001</v>
      </c>
      <c r="C27" s="11">
        <f>57639.51*2.3%</f>
        <v>1325.7087300000001</v>
      </c>
      <c r="D27" s="11">
        <f>57639.51*2.3%</f>
        <v>1325.7087300000001</v>
      </c>
      <c r="E27" s="11">
        <f>57639.51*2.3%</f>
        <v>1325.7087300000001</v>
      </c>
      <c r="F27" s="11">
        <f>57639.51*2.3%</f>
        <v>1325.7087300000001</v>
      </c>
      <c r="G27" s="11">
        <f>62739.79*2.3%</f>
        <v>1443.0151699999999</v>
      </c>
      <c r="H27" s="11">
        <f>66495.75*2.3%</f>
        <v>1529.4022499999999</v>
      </c>
      <c r="I27" s="11">
        <f>78036.63*2.3%</f>
        <v>1794.84249</v>
      </c>
      <c r="J27" s="11">
        <f>77633.18*2.3%</f>
        <v>1785.5631399999997</v>
      </c>
      <c r="K27" s="11">
        <f>76068.31*2.3%</f>
        <v>1749.5711299999998</v>
      </c>
      <c r="L27" s="11">
        <f>91784.45*2.3%</f>
        <v>2111.0423499999997</v>
      </c>
      <c r="M27" s="11">
        <f>72212.82*2.3%</f>
        <v>1660.8948600000001</v>
      </c>
      <c r="N27" s="11">
        <f t="shared" si="15"/>
        <v>18702.875039999999</v>
      </c>
    </row>
    <row r="28" spans="1:15" ht="23.25" customHeight="1" thickBot="1" x14ac:dyDescent="0.3">
      <c r="A28" s="4" t="s">
        <v>4</v>
      </c>
      <c r="B28" s="11">
        <f>46972.45*3%</f>
        <v>1409.1734999999999</v>
      </c>
      <c r="C28" s="11">
        <f>46385.69*3%</f>
        <v>1391.5707</v>
      </c>
      <c r="D28" s="11">
        <f>42270.3*3%</f>
        <v>1268.1090000000002</v>
      </c>
      <c r="E28" s="11">
        <f>52230.06*3%</f>
        <v>1566.9017999999999</v>
      </c>
      <c r="F28" s="11">
        <f>66964.92*3%</f>
        <v>2008.9476</v>
      </c>
      <c r="G28" s="11">
        <f>133745.48*3%</f>
        <v>4012.3644000000004</v>
      </c>
      <c r="H28" s="11">
        <f>62733.28*3%</f>
        <v>1881.9983999999999</v>
      </c>
      <c r="I28" s="11">
        <f>69103.46*3%</f>
        <v>2073.1038000000003</v>
      </c>
      <c r="J28" s="11">
        <f>67236.41*3%</f>
        <v>2017.0923</v>
      </c>
      <c r="K28" s="11">
        <f>88619.07*3%</f>
        <v>2658.5721000000003</v>
      </c>
      <c r="L28" s="11">
        <f>83744.03*3%</f>
        <v>2512.3208999999997</v>
      </c>
      <c r="M28" s="11">
        <f>85420.44*3%</f>
        <v>2562.6131999999998</v>
      </c>
      <c r="N28" s="11">
        <f t="shared" si="15"/>
        <v>25362.7677</v>
      </c>
    </row>
    <row r="29" spans="1:15" ht="23.25" customHeight="1" thickBot="1" x14ac:dyDescent="0.3">
      <c r="A29" s="4" t="s">
        <v>9</v>
      </c>
      <c r="B29" s="11">
        <f t="shared" ref="B29:M29" si="17">2963.2*9.7</f>
        <v>28743.039999999997</v>
      </c>
      <c r="C29" s="11">
        <f t="shared" si="17"/>
        <v>28743.039999999997</v>
      </c>
      <c r="D29" s="11">
        <f t="shared" si="17"/>
        <v>28743.039999999997</v>
      </c>
      <c r="E29" s="11">
        <f t="shared" si="17"/>
        <v>28743.039999999997</v>
      </c>
      <c r="F29" s="11">
        <f t="shared" si="17"/>
        <v>28743.039999999997</v>
      </c>
      <c r="G29" s="11">
        <f t="shared" si="17"/>
        <v>28743.039999999997</v>
      </c>
      <c r="H29" s="11">
        <f t="shared" si="17"/>
        <v>28743.039999999997</v>
      </c>
      <c r="I29" s="11">
        <f t="shared" si="17"/>
        <v>28743.039999999997</v>
      </c>
      <c r="J29" s="11">
        <f t="shared" si="17"/>
        <v>28743.039999999997</v>
      </c>
      <c r="K29" s="11">
        <f t="shared" si="17"/>
        <v>28743.039999999997</v>
      </c>
      <c r="L29" s="11">
        <f t="shared" si="17"/>
        <v>28743.039999999997</v>
      </c>
      <c r="M29" s="11">
        <f t="shared" si="17"/>
        <v>28743.039999999997</v>
      </c>
      <c r="N29" s="11">
        <f t="shared" si="15"/>
        <v>344916.47999999998</v>
      </c>
    </row>
    <row r="30" spans="1:15" ht="26.25" customHeight="1" thickBot="1" x14ac:dyDescent="0.3">
      <c r="A30" s="4" t="s">
        <v>19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f>0+20.56</f>
        <v>20.56</v>
      </c>
      <c r="M30" s="11">
        <v>0</v>
      </c>
      <c r="N30" s="11">
        <f t="shared" si="15"/>
        <v>20.56</v>
      </c>
    </row>
    <row r="31" spans="1:15" ht="26.25" customHeight="1" thickBot="1" x14ac:dyDescent="0.3">
      <c r="A31" s="4" t="s">
        <v>20</v>
      </c>
      <c r="B31" s="11">
        <v>712.39</v>
      </c>
      <c r="C31" s="11">
        <v>712.39</v>
      </c>
      <c r="D31" s="11">
        <v>712.39</v>
      </c>
      <c r="E31" s="11">
        <v>712.39</v>
      </c>
      <c r="F31" s="11">
        <v>712.39</v>
      </c>
      <c r="G31" s="11">
        <v>712.39</v>
      </c>
      <c r="H31" s="11">
        <v>712.39</v>
      </c>
      <c r="I31" s="11">
        <v>712.39</v>
      </c>
      <c r="J31" s="11">
        <v>712.39</v>
      </c>
      <c r="K31" s="11">
        <v>712.39</v>
      </c>
      <c r="L31" s="11">
        <v>712.39</v>
      </c>
      <c r="M31" s="11">
        <v>712.39</v>
      </c>
      <c r="N31" s="11">
        <f t="shared" si="15"/>
        <v>8548.6800000000021</v>
      </c>
    </row>
    <row r="32" spans="1:15" ht="26.25" customHeight="1" thickBot="1" x14ac:dyDescent="0.3">
      <c r="A32" s="4" t="s">
        <v>21</v>
      </c>
      <c r="B32" s="11">
        <v>0</v>
      </c>
      <c r="C32" s="11">
        <v>0</v>
      </c>
      <c r="D32" s="11">
        <v>0</v>
      </c>
      <c r="E32" s="11">
        <v>0</v>
      </c>
      <c r="F32" s="11">
        <v>5100.3500000000004</v>
      </c>
      <c r="G32" s="11">
        <v>0</v>
      </c>
      <c r="H32" s="11">
        <v>0</v>
      </c>
      <c r="I32" s="11">
        <v>5478</v>
      </c>
      <c r="J32" s="11">
        <v>3876.1</v>
      </c>
      <c r="K32" s="11">
        <v>19592.150000000001</v>
      </c>
      <c r="L32" s="11">
        <v>0</v>
      </c>
      <c r="M32" s="11">
        <v>9777.4</v>
      </c>
      <c r="N32" s="11">
        <f t="shared" si="15"/>
        <v>43824.000000000007</v>
      </c>
    </row>
    <row r="33" spans="1:14" ht="26.25" customHeight="1" thickBot="1" x14ac:dyDescent="0.3">
      <c r="A33" s="4" t="s">
        <v>26</v>
      </c>
      <c r="B33" s="11">
        <v>916.4</v>
      </c>
      <c r="C33" s="11">
        <v>916.4</v>
      </c>
      <c r="D33" s="11">
        <v>916.4</v>
      </c>
      <c r="E33" s="11">
        <v>916.4</v>
      </c>
      <c r="F33" s="11">
        <v>916.4</v>
      </c>
      <c r="G33" s="11">
        <v>916.4</v>
      </c>
      <c r="H33" s="11">
        <v>916.4</v>
      </c>
      <c r="I33" s="11">
        <v>916.4</v>
      </c>
      <c r="J33" s="11">
        <v>916.4</v>
      </c>
      <c r="K33" s="11">
        <v>916.4</v>
      </c>
      <c r="L33" s="11">
        <v>916.4</v>
      </c>
      <c r="M33" s="11">
        <v>916.4</v>
      </c>
      <c r="N33" s="11">
        <f t="shared" si="15"/>
        <v>10996.799999999997</v>
      </c>
    </row>
    <row r="34" spans="1:14" ht="22.5" customHeight="1" thickBot="1" x14ac:dyDescent="0.3">
      <c r="A34" s="4" t="s">
        <v>6</v>
      </c>
      <c r="B34" s="11">
        <f t="shared" ref="B34:G34" si="18">2963.2*2.77</f>
        <v>8208.0640000000003</v>
      </c>
      <c r="C34" s="11">
        <f t="shared" si="18"/>
        <v>8208.0640000000003</v>
      </c>
      <c r="D34" s="11">
        <f t="shared" si="18"/>
        <v>8208.0640000000003</v>
      </c>
      <c r="E34" s="11">
        <f t="shared" si="18"/>
        <v>8208.0640000000003</v>
      </c>
      <c r="F34" s="11">
        <f t="shared" si="18"/>
        <v>8208.0640000000003</v>
      </c>
      <c r="G34" s="11">
        <f t="shared" si="18"/>
        <v>8208.0640000000003</v>
      </c>
      <c r="H34" s="19">
        <f>2963.2*3.22</f>
        <v>9541.5040000000008</v>
      </c>
      <c r="I34" s="19">
        <f t="shared" ref="I34:M34" si="19">2963.2*3.22</f>
        <v>9541.5040000000008</v>
      </c>
      <c r="J34" s="19">
        <f t="shared" si="19"/>
        <v>9541.5040000000008</v>
      </c>
      <c r="K34" s="19">
        <f t="shared" si="19"/>
        <v>9541.5040000000008</v>
      </c>
      <c r="L34" s="19">
        <f t="shared" si="19"/>
        <v>9541.5040000000008</v>
      </c>
      <c r="M34" s="19">
        <f t="shared" si="19"/>
        <v>9541.5040000000008</v>
      </c>
      <c r="N34" s="11">
        <f t="shared" si="15"/>
        <v>106497.408</v>
      </c>
    </row>
    <row r="35" spans="1:14" ht="22.5" customHeight="1" thickBot="1" x14ac:dyDescent="0.3">
      <c r="A35" s="4" t="s">
        <v>25</v>
      </c>
      <c r="B35" s="11">
        <v>900</v>
      </c>
      <c r="C35" s="11">
        <v>900</v>
      </c>
      <c r="D35" s="11">
        <v>900</v>
      </c>
      <c r="E35" s="11">
        <v>900</v>
      </c>
      <c r="F35" s="11">
        <v>900</v>
      </c>
      <c r="G35" s="11">
        <v>900</v>
      </c>
      <c r="H35" s="11">
        <v>900</v>
      </c>
      <c r="I35" s="11">
        <v>900</v>
      </c>
      <c r="J35" s="11">
        <v>900</v>
      </c>
      <c r="K35" s="11">
        <v>900</v>
      </c>
      <c r="L35" s="11">
        <v>900</v>
      </c>
      <c r="M35" s="11">
        <v>900</v>
      </c>
      <c r="N35" s="11">
        <f t="shared" si="15"/>
        <v>10800</v>
      </c>
    </row>
    <row r="36" spans="1:14" ht="22.5" customHeight="1" thickBot="1" x14ac:dyDescent="0.3">
      <c r="A36" s="4" t="s">
        <v>42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7240</v>
      </c>
      <c r="K36" s="11">
        <v>4130</v>
      </c>
      <c r="L36" s="11">
        <v>4720</v>
      </c>
      <c r="M36" s="11">
        <v>4620</v>
      </c>
      <c r="N36" s="11">
        <f t="shared" si="15"/>
        <v>20710</v>
      </c>
    </row>
    <row r="37" spans="1:14" ht="24" customHeight="1" thickBot="1" x14ac:dyDescent="0.3">
      <c r="A37" s="4" t="s">
        <v>10</v>
      </c>
      <c r="B37" s="11">
        <f>688.6+4626.2</f>
        <v>5314.8</v>
      </c>
      <c r="C37" s="11">
        <f>1166.9+58000</f>
        <v>59166.9</v>
      </c>
      <c r="D37" s="11">
        <f>82633.08+9477+5216.1+315+768.5</f>
        <v>98409.680000000008</v>
      </c>
      <c r="E37" s="11">
        <f>210+1226.7+420</f>
        <v>1856.7</v>
      </c>
      <c r="F37" s="11">
        <f>2738.6+5738.6+105</f>
        <v>8582.2000000000007</v>
      </c>
      <c r="G37" s="11">
        <f>1822.7+5083.2</f>
        <v>6905.9</v>
      </c>
      <c r="H37" s="11">
        <f>2379.9+22000+687.4+105+30000</f>
        <v>55172.3</v>
      </c>
      <c r="I37" s="11">
        <f>315</f>
        <v>315</v>
      </c>
      <c r="J37" s="11">
        <f>9165.8+12315.1+2000</f>
        <v>23480.9</v>
      </c>
      <c r="K37" s="11">
        <f>12725.1+1972.6</f>
        <v>14697.7</v>
      </c>
      <c r="L37" s="11">
        <f>751.3+9577.2+1284.6+6112.3</f>
        <v>17725.400000000001</v>
      </c>
      <c r="M37" s="11">
        <f>718.5</f>
        <v>718.5</v>
      </c>
      <c r="N37" s="11">
        <f t="shared" si="15"/>
        <v>292345.98000000004</v>
      </c>
    </row>
    <row r="38" spans="1:14" ht="22.5" customHeight="1" thickBot="1" x14ac:dyDescent="0.3">
      <c r="A38" s="9" t="s">
        <v>22</v>
      </c>
      <c r="B38" s="10">
        <f t="shared" ref="B38:M38" si="20">SUM(B25:B37)</f>
        <v>49811.240230000003</v>
      </c>
      <c r="C38" s="10">
        <f t="shared" si="20"/>
        <v>103645.73743000001</v>
      </c>
      <c r="D38" s="10">
        <f t="shared" si="20"/>
        <v>142765.05573000002</v>
      </c>
      <c r="E38" s="10">
        <f t="shared" si="20"/>
        <v>46510.868529999992</v>
      </c>
      <c r="F38" s="10">
        <f t="shared" si="20"/>
        <v>58778.764329999991</v>
      </c>
      <c r="G38" s="10">
        <f t="shared" si="20"/>
        <v>54122.837569999996</v>
      </c>
      <c r="H38" s="10">
        <f t="shared" si="20"/>
        <v>101678.69865000001</v>
      </c>
      <c r="I38" s="10">
        <f t="shared" si="20"/>
        <v>52755.944289999999</v>
      </c>
      <c r="J38" s="10">
        <f t="shared" si="20"/>
        <v>81494.653439999995</v>
      </c>
      <c r="K38" s="10">
        <f t="shared" si="20"/>
        <v>85922.99123</v>
      </c>
      <c r="L38" s="10">
        <f t="shared" si="20"/>
        <v>70184.321249999994</v>
      </c>
      <c r="M38" s="10">
        <f t="shared" si="20"/>
        <v>62434.406060000001</v>
      </c>
      <c r="N38" s="10">
        <f>SUM(B38:M38)</f>
        <v>910105.51873999997</v>
      </c>
    </row>
    <row r="39" spans="1:14" ht="23.25" customHeight="1" thickBot="1" x14ac:dyDescent="0.3">
      <c r="A39" s="4" t="s">
        <v>5</v>
      </c>
      <c r="B39" s="18">
        <f t="shared" ref="B39:N39" si="21">B16-B38</f>
        <v>-2438.790230000006</v>
      </c>
      <c r="C39" s="18">
        <f t="shared" si="21"/>
        <v>-53560.047430000006</v>
      </c>
      <c r="D39" s="18">
        <f t="shared" si="21"/>
        <v>-96794.755730000034</v>
      </c>
      <c r="E39" s="18">
        <f t="shared" si="21"/>
        <v>9719.1914700000052</v>
      </c>
      <c r="F39" s="18">
        <f t="shared" si="21"/>
        <v>8866.1556700000219</v>
      </c>
      <c r="G39" s="18">
        <f t="shared" si="21"/>
        <v>80922.642430000007</v>
      </c>
      <c r="H39" s="18">
        <f t="shared" si="21"/>
        <v>-38545.41865</v>
      </c>
      <c r="I39" s="18">
        <f t="shared" si="21"/>
        <v>16747.515710000007</v>
      </c>
      <c r="J39" s="18">
        <f t="shared" si="21"/>
        <v>-13858.243440000006</v>
      </c>
      <c r="K39" s="18">
        <f t="shared" si="21"/>
        <v>3096.0787699999782</v>
      </c>
      <c r="L39" s="18">
        <f t="shared" si="21"/>
        <v>13959.708750000005</v>
      </c>
      <c r="M39" s="18">
        <f t="shared" si="21"/>
        <v>23386.033940000001</v>
      </c>
      <c r="N39" s="11">
        <f t="shared" si="21"/>
        <v>-48499.928739999887</v>
      </c>
    </row>
    <row r="40" spans="1:14" ht="23.25" customHeight="1" thickBot="1" x14ac:dyDescent="0.3">
      <c r="A40" s="4" t="s">
        <v>7</v>
      </c>
      <c r="B40" s="14">
        <f t="shared" ref="B40:N40" si="22">B6+B39</f>
        <v>-520221.06023</v>
      </c>
      <c r="C40" s="14">
        <f t="shared" si="22"/>
        <v>-573781.10765999998</v>
      </c>
      <c r="D40" s="14">
        <f t="shared" si="22"/>
        <v>-670575.86339000007</v>
      </c>
      <c r="E40" s="14">
        <f t="shared" si="22"/>
        <v>-660856.67192000011</v>
      </c>
      <c r="F40" s="14">
        <f t="shared" si="22"/>
        <v>-651990.5162500001</v>
      </c>
      <c r="G40" s="14">
        <f t="shared" si="22"/>
        <v>-571067.8738200001</v>
      </c>
      <c r="H40" s="14">
        <f t="shared" si="22"/>
        <v>-609613.2924700001</v>
      </c>
      <c r="I40" s="14">
        <f t="shared" si="22"/>
        <v>-592865.77676000004</v>
      </c>
      <c r="J40" s="14">
        <f t="shared" si="22"/>
        <v>-606724.02020000003</v>
      </c>
      <c r="K40" s="14">
        <f t="shared" si="22"/>
        <v>-603627.94143000001</v>
      </c>
      <c r="L40" s="14">
        <f t="shared" si="22"/>
        <v>-589668.23268000002</v>
      </c>
      <c r="M40" s="14">
        <f t="shared" si="22"/>
        <v>-566282.19874000002</v>
      </c>
      <c r="N40" s="14">
        <f t="shared" si="22"/>
        <v>-566282.19873999991</v>
      </c>
    </row>
    <row r="41" spans="1:14" ht="27" customHeight="1" thickBot="1" x14ac:dyDescent="0.3">
      <c r="A41" s="5" t="s">
        <v>11</v>
      </c>
      <c r="B41" s="17">
        <f t="shared" ref="B41:N41" si="23">B7+B16-B8</f>
        <v>-710732.67</v>
      </c>
      <c r="C41" s="17">
        <f t="shared" si="23"/>
        <v>-719056.49</v>
      </c>
      <c r="D41" s="17">
        <f t="shared" si="23"/>
        <v>-731495.7</v>
      </c>
      <c r="E41" s="17">
        <f t="shared" si="23"/>
        <v>-733675.14999999991</v>
      </c>
      <c r="F41" s="17">
        <f t="shared" si="23"/>
        <v>-724439.73999999987</v>
      </c>
      <c r="G41" s="17">
        <f t="shared" si="23"/>
        <v>-652904.04999999993</v>
      </c>
      <c r="H41" s="17">
        <f t="shared" si="23"/>
        <v>-657036.5199999999</v>
      </c>
      <c r="I41" s="17">
        <f t="shared" si="23"/>
        <v>-666339.68999999994</v>
      </c>
      <c r="J41" s="17">
        <f t="shared" si="23"/>
        <v>-677106.46</v>
      </c>
      <c r="K41" s="17">
        <f t="shared" si="23"/>
        <v>-664925.69999999995</v>
      </c>
      <c r="L41" s="17">
        <f t="shared" si="23"/>
        <v>-673336.11999999988</v>
      </c>
      <c r="M41" s="17">
        <f t="shared" si="23"/>
        <v>-660498.49999999988</v>
      </c>
      <c r="N41" s="21">
        <f t="shared" si="23"/>
        <v>-660498.49999999977</v>
      </c>
    </row>
    <row r="42" spans="1:14" ht="19.5" hidden="1" customHeight="1" thickBot="1" x14ac:dyDescent="0.35">
      <c r="A42" s="26" t="s">
        <v>28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8"/>
      <c r="N42" s="21"/>
    </row>
    <row r="43" spans="1:14" ht="18" hidden="1" customHeight="1" thickBot="1" x14ac:dyDescent="0.35">
      <c r="A43" s="29" t="s">
        <v>11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1"/>
      <c r="N43" s="20">
        <f>N41+N42</f>
        <v>-660498.49999999977</v>
      </c>
    </row>
  </sheetData>
  <mergeCells count="4">
    <mergeCell ref="A1:N1"/>
    <mergeCell ref="A2:P2"/>
    <mergeCell ref="A42:M42"/>
    <mergeCell ref="A43:M43"/>
  </mergeCells>
  <phoneticPr fontId="4" type="noConversion"/>
  <pageMargins left="0.19685039370078741" right="0.19685039370078741" top="0.19685039370078741" bottom="0.19685039370078741" header="0.51181102362204722" footer="0.51181102362204722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2024-03-01T09:15:45Z</cp:lastPrinted>
  <dcterms:created xsi:type="dcterms:W3CDTF">2011-06-06T03:25:48Z</dcterms:created>
  <dcterms:modified xsi:type="dcterms:W3CDTF">2024-03-01T09:20:56Z</dcterms:modified>
</cp:coreProperties>
</file>