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56" windowWidth="17496" windowHeight="10932"/>
  </bookViews>
  <sheets>
    <sheet name="2023" sheetId="1" r:id="rId1"/>
  </sheets>
  <calcPr calcId="144525" refMode="R1C1"/>
</workbook>
</file>

<file path=xl/calcChain.xml><?xml version="1.0" encoding="utf-8"?>
<calcChain xmlns="http://schemas.openxmlformats.org/spreadsheetml/2006/main">
  <c r="L37" i="1" l="1"/>
  <c r="M29" i="1" l="1"/>
  <c r="L29" i="1"/>
  <c r="M27" i="1" l="1"/>
  <c r="M16" i="1"/>
  <c r="M26" i="1"/>
  <c r="M8" i="1"/>
  <c r="L27" i="1" l="1"/>
  <c r="L16" i="1"/>
  <c r="L26" i="1"/>
  <c r="L8" i="1"/>
  <c r="K27" i="1" l="1"/>
  <c r="K16" i="1"/>
  <c r="K26" i="1"/>
  <c r="K8" i="1"/>
  <c r="K34" i="1" l="1"/>
  <c r="L34" i="1"/>
  <c r="M34" i="1"/>
  <c r="K28" i="1"/>
  <c r="L28" i="1"/>
  <c r="M28" i="1"/>
  <c r="K25" i="1"/>
  <c r="L25" i="1"/>
  <c r="M25" i="1"/>
  <c r="K24" i="1"/>
  <c r="L24" i="1"/>
  <c r="M24" i="1"/>
  <c r="J37" i="1" l="1"/>
  <c r="J29" i="1" l="1"/>
  <c r="H34" i="1" l="1"/>
  <c r="I34" i="1"/>
  <c r="J34" i="1"/>
  <c r="J27" i="1" l="1"/>
  <c r="J16" i="1"/>
  <c r="J26" i="1"/>
  <c r="J8" i="1" l="1"/>
  <c r="I27" i="1" l="1"/>
  <c r="I16" i="1"/>
  <c r="I26" i="1"/>
  <c r="I8" i="1"/>
  <c r="H27" i="1" l="1"/>
  <c r="H16" i="1"/>
  <c r="H26" i="1"/>
  <c r="H8" i="1"/>
  <c r="H28" i="1" l="1"/>
  <c r="I28" i="1"/>
  <c r="J28" i="1"/>
  <c r="H25" i="1"/>
  <c r="I25" i="1"/>
  <c r="J25" i="1"/>
  <c r="H24" i="1"/>
  <c r="I24" i="1"/>
  <c r="J24" i="1"/>
  <c r="G37" i="1" l="1"/>
  <c r="F37" i="1" l="1"/>
  <c r="G27" i="1" l="1"/>
  <c r="G16" i="1"/>
  <c r="G26" i="1"/>
  <c r="G8" i="1"/>
  <c r="F27" i="1" l="1"/>
  <c r="F16" i="1"/>
  <c r="F26" i="1"/>
  <c r="F8" i="1"/>
  <c r="E27" i="1" l="1"/>
  <c r="E16" i="1"/>
  <c r="E26" i="1"/>
  <c r="E8" i="1"/>
  <c r="E34" i="1" l="1"/>
  <c r="F34" i="1"/>
  <c r="G34" i="1"/>
  <c r="E28" i="1"/>
  <c r="F28" i="1"/>
  <c r="G28" i="1"/>
  <c r="E25" i="1"/>
  <c r="F25" i="1"/>
  <c r="G25" i="1"/>
  <c r="E24" i="1"/>
  <c r="F24" i="1"/>
  <c r="G24" i="1"/>
  <c r="C29" i="1" l="1"/>
  <c r="B29" i="1"/>
  <c r="D37" i="1" l="1"/>
  <c r="C37" i="1" l="1"/>
  <c r="B37" i="1" l="1"/>
  <c r="D27" i="1" l="1"/>
  <c r="D16" i="1"/>
  <c r="D26" i="1"/>
  <c r="D8" i="1"/>
  <c r="C27" i="1" l="1"/>
  <c r="C16" i="1"/>
  <c r="C26" i="1"/>
  <c r="C8" i="1"/>
  <c r="B27" i="1" l="1"/>
  <c r="B16" i="1"/>
  <c r="B26" i="1"/>
  <c r="B8" i="1"/>
  <c r="C34" i="1" l="1"/>
  <c r="D34" i="1"/>
  <c r="C28" i="1"/>
  <c r="D28" i="1"/>
  <c r="C25" i="1"/>
  <c r="D25" i="1"/>
  <c r="C24" i="1"/>
  <c r="D24" i="1"/>
  <c r="B34" i="1"/>
  <c r="B28" i="1"/>
  <c r="B25" i="1"/>
  <c r="B24" i="1"/>
  <c r="N14" i="1" l="1"/>
  <c r="N6" i="1" l="1"/>
  <c r="N5" i="1"/>
  <c r="L7" i="1" l="1"/>
  <c r="N8" i="1"/>
  <c r="N24" i="1"/>
  <c r="N25" i="1"/>
  <c r="N28" i="1"/>
  <c r="N29" i="1"/>
  <c r="N30" i="1"/>
  <c r="N31" i="1"/>
  <c r="N32" i="1"/>
  <c r="N33" i="1"/>
  <c r="N34" i="1"/>
  <c r="N35" i="1"/>
  <c r="N36" i="1"/>
  <c r="N37" i="1"/>
  <c r="N17" i="1"/>
  <c r="N18" i="1"/>
  <c r="N19" i="1"/>
  <c r="N20" i="1"/>
  <c r="N21" i="1"/>
  <c r="N22" i="1"/>
  <c r="N16" i="1"/>
  <c r="K15" i="1"/>
  <c r="L15" i="1"/>
  <c r="M15" i="1"/>
  <c r="N9" i="1"/>
  <c r="N10" i="1"/>
  <c r="N11" i="1"/>
  <c r="N12" i="1"/>
  <c r="N13" i="1"/>
  <c r="K7" i="1"/>
  <c r="M7" i="1"/>
  <c r="M38" i="1" l="1"/>
  <c r="M39" i="1" s="1"/>
  <c r="L38" i="1"/>
  <c r="L39" i="1" s="1"/>
  <c r="N27" i="1"/>
  <c r="K38" i="1"/>
  <c r="C15" i="1"/>
  <c r="D15" i="1"/>
  <c r="D38" i="1" s="1"/>
  <c r="D39" i="1" s="1"/>
  <c r="E15" i="1"/>
  <c r="F15" i="1"/>
  <c r="G15" i="1"/>
  <c r="H15" i="1"/>
  <c r="I15" i="1"/>
  <c r="J15" i="1"/>
  <c r="G38" i="1" l="1"/>
  <c r="G39" i="1" s="1"/>
  <c r="J38" i="1"/>
  <c r="J39" i="1" s="1"/>
  <c r="K39" i="1"/>
  <c r="J7" i="1" l="1"/>
  <c r="I7" i="1"/>
  <c r="H7" i="1"/>
  <c r="I38" i="1" l="1"/>
  <c r="I39" i="1" s="1"/>
  <c r="H38" i="1" l="1"/>
  <c r="H39" i="1" l="1"/>
  <c r="N26" i="1"/>
  <c r="E7" i="1" l="1"/>
  <c r="F7" i="1"/>
  <c r="G7" i="1"/>
  <c r="D7" i="1"/>
  <c r="C7" i="1"/>
  <c r="B15" i="1"/>
  <c r="B7" i="1"/>
  <c r="B38" i="1" l="1"/>
  <c r="B39" i="1" s="1"/>
  <c r="B40" i="1" s="1"/>
  <c r="B41" i="1"/>
  <c r="C6" i="1" s="1"/>
  <c r="C41" i="1" s="1"/>
  <c r="N15" i="1"/>
  <c r="N7" i="1"/>
  <c r="E38" i="1"/>
  <c r="F38" i="1"/>
  <c r="F39" i="1" s="1"/>
  <c r="N41" i="1" l="1"/>
  <c r="E39" i="1"/>
  <c r="D6" i="1"/>
  <c r="D41" i="1" s="1"/>
  <c r="C38" i="1"/>
  <c r="C5" i="1"/>
  <c r="N38" i="1" l="1"/>
  <c r="E6" i="1"/>
  <c r="E41" i="1" s="1"/>
  <c r="F6" i="1" s="1"/>
  <c r="F41" i="1" s="1"/>
  <c r="C39" i="1"/>
  <c r="C40" i="1" s="1"/>
  <c r="D5" i="1" s="1"/>
  <c r="D40" i="1" s="1"/>
  <c r="N39" i="1" l="1"/>
  <c r="N40" i="1"/>
  <c r="G6" i="1"/>
  <c r="G41" i="1" s="1"/>
  <c r="E5" i="1"/>
  <c r="E40" i="1" s="1"/>
  <c r="H6" i="1" l="1"/>
  <c r="H41" i="1" s="1"/>
  <c r="F5" i="1"/>
  <c r="F40" i="1" s="1"/>
  <c r="I6" i="1" l="1"/>
  <c r="I41" i="1" s="1"/>
  <c r="G5" i="1"/>
  <c r="G40" i="1" s="1"/>
  <c r="J6" i="1" l="1"/>
  <c r="H5" i="1"/>
  <c r="H40" i="1" s="1"/>
  <c r="J41" i="1" l="1"/>
  <c r="K6" i="1" s="1"/>
  <c r="K41" i="1" s="1"/>
  <c r="L6" i="1" s="1"/>
  <c r="L41" i="1" s="1"/>
  <c r="M6" i="1" s="1"/>
  <c r="M41" i="1" s="1"/>
  <c r="I5" i="1"/>
  <c r="I40" i="1" s="1"/>
  <c r="J5" i="1" l="1"/>
  <c r="J40" i="1" s="1"/>
  <c r="K5" i="1" l="1"/>
  <c r="K40" i="1" l="1"/>
  <c r="L5" i="1" s="1"/>
  <c r="L40" i="1" l="1"/>
  <c r="M5" i="1" s="1"/>
  <c r="M40" i="1" s="1"/>
</calcChain>
</file>

<file path=xl/sharedStrings.xml><?xml version="1.0" encoding="utf-8"?>
<sst xmlns="http://schemas.openxmlformats.org/spreadsheetml/2006/main" count="52" uniqueCount="44">
  <si>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</si>
  <si>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</si>
  <si>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</si>
  <si>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</si>
  <si>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</si>
  <si>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</si>
  <si>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</si>
  <si>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</si>
  <si>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</si>
  <si>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</si>
  <si>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</si>
  <si>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</si>
  <si>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</si>
  <si>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</si>
  <si>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</si>
  <si>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</si>
  <si>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</si>
  <si>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</si>
  <si>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</si>
  <si>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</si>
  <si>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</si>
  <si>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</si>
  <si>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</si>
  <si>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</si>
  <si>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</si>
  <si>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Отведение сточных вод ОИ</t>
  </si>
  <si>
    <t>Тех.обслуживание узла учета теплоэнергии</t>
  </si>
  <si>
    <t>Вознаграждение, координация с советом МКД</t>
  </si>
  <si>
    <t xml:space="preserve">Содержание жилья и текущий ремонт,  ОПУ </t>
  </si>
  <si>
    <t>Содержание жилья и текущий ремонт,  ОПУ</t>
  </si>
  <si>
    <t>Январь 2023г.</t>
  </si>
  <si>
    <t>Февраль 2023г.</t>
  </si>
  <si>
    <t>Март 2023г.</t>
  </si>
  <si>
    <t>Апрель 2023г.</t>
  </si>
  <si>
    <t>Май 2023г.</t>
  </si>
  <si>
    <t>Июнь 2023г.</t>
  </si>
  <si>
    <t>Июль 2023г.</t>
  </si>
  <si>
    <t>Август 2023г.</t>
  </si>
  <si>
    <t>Сентябрь 2023г.</t>
  </si>
  <si>
    <t>Октябрь 2023г</t>
  </si>
  <si>
    <t>Ноябрь 2023г</t>
  </si>
  <si>
    <t>Декабрь 2023г</t>
  </si>
  <si>
    <t>Всего:                       за  2023г.</t>
  </si>
  <si>
    <t xml:space="preserve">                 ОТЧЕТ по дому Липового, 80 за период 01.01.2023г. по 31.12.2023г.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</si>
</sst>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3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164" fontId="5" fillId="0" borderId="5" xfId="0" applyNumberFormat="1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  <xf numFmtId="164" fontId="5" fillId="0" borderId="6" xfId="0" applyNumberFormat="1" applyFont="1" applyBorder="1" applyAlignment="1">
      <alignment horizontal="left" vertical="top" wrapText="1"/>
    </xf>
    <xf numFmtId="164" fontId="5" fillId="0" borderId="7" xfId="0" applyNumberFormat="1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tabSelected="1" zoomScale="75" workbookViewId="0">
      <selection activeCell="B2" sqref="B1:J1048576"/>
    </sheetView>
  </sheetViews>
  <sheetFormatPr defaultRowHeight="13.2" x14ac:dyDescent="0.25"/>
  <cols>
    <col min="1" max="1" width="58.6640625" customWidth="1"/>
    <col min="2" max="2" width="14.109375" customWidth="1"/>
    <col min="3" max="3" width="13.44140625" customWidth="1"/>
    <col min="4" max="4" width="14.33203125" customWidth="1"/>
    <col min="5" max="5" width="13.5546875" customWidth="1"/>
    <col min="6" max="6" width="13.6640625" customWidth="1"/>
    <col min="7" max="7" width="13.88671875" customWidth="1"/>
    <col min="8" max="8" width="14.44140625" customWidth="1"/>
    <col min="9" max="13" width="13.88671875" customWidth="1"/>
    <col min="14" max="14" width="15.88671875" customWidth="1"/>
  </cols>
  <sheetData>
    <row r="1" spans="1:18" ht="20.25" customHeight="1" x14ac:dyDescent="0.35">
      <c r="A1" s="20" t="s">
        <v>43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6" t="s">
        <v>0</v>
      </c>
      <c r="B4" s="7" t="s">
        <v>30</v>
      </c>
      <c r="C4" s="7" t="s">
        <v>31</v>
      </c>
      <c r="D4" s="7" t="s">
        <v>32</v>
      </c>
      <c r="E4" s="7" t="s">
        <v>33</v>
      </c>
      <c r="F4" s="7" t="s">
        <v>34</v>
      </c>
      <c r="G4" s="7" t="s">
        <v>35</v>
      </c>
      <c r="H4" s="7" t="s">
        <v>36</v>
      </c>
      <c r="I4" s="7" t="s">
        <v>37</v>
      </c>
      <c r="J4" s="7" t="s">
        <v>38</v>
      </c>
      <c r="K4" s="7" t="s">
        <v>39</v>
      </c>
      <c r="L4" s="7" t="s">
        <v>40</v>
      </c>
      <c r="M4" s="7" t="s">
        <v>41</v>
      </c>
      <c r="N4" s="7" t="s">
        <v>42</v>
      </c>
    </row>
    <row r="5" spans="1:18" ht="23.25" customHeight="1" thickBot="1" x14ac:dyDescent="0.3">
      <c r="A5" s="8" t="s">
        <v>16</v>
      </c>
      <c r="B5" s="9">
        <v>-76949.39</v>
      </c>
      <c r="C5" s="9">
        <f t="shared" ref="C5:D6" si="0">B40</f>
        <v>-66045.908840000004</v>
      </c>
      <c r="D5" s="9">
        <f t="shared" si="0"/>
        <v>-31035.677530000001</v>
      </c>
      <c r="E5" s="9">
        <f t="shared" ref="E5:E6" si="1">D40</f>
        <v>-17201.442760000005</v>
      </c>
      <c r="F5" s="9">
        <f t="shared" ref="F5:F6" si="2">E40</f>
        <v>-3800.8492299999998</v>
      </c>
      <c r="G5" s="9">
        <f t="shared" ref="G5:G6" si="3">F40</f>
        <v>-1622.6331900000005</v>
      </c>
      <c r="H5" s="9">
        <f t="shared" ref="H5:H6" si="4">G40</f>
        <v>4447.3889100000015</v>
      </c>
      <c r="I5" s="9">
        <f t="shared" ref="I5:I6" si="5">H40</f>
        <v>19642.019789999991</v>
      </c>
      <c r="J5" s="9">
        <f t="shared" ref="J5:J6" si="6">I40</f>
        <v>40776.485459999982</v>
      </c>
      <c r="K5" s="9">
        <f t="shared" ref="K5:K6" si="7">J40</f>
        <v>57476.511699999981</v>
      </c>
      <c r="L5" s="9">
        <f t="shared" ref="L5:L6" si="8">K40</f>
        <v>68903.038929999981</v>
      </c>
      <c r="M5" s="9">
        <f t="shared" ref="M5:M6" si="9">L40</f>
        <v>66450.341989999972</v>
      </c>
      <c r="N5" s="9">
        <f>B5</f>
        <v>-76949.39</v>
      </c>
    </row>
    <row r="6" spans="1:18" ht="21" customHeight="1" thickBot="1" x14ac:dyDescent="0.3">
      <c r="A6" s="8" t="s">
        <v>13</v>
      </c>
      <c r="B6" s="9">
        <v>-159157.87</v>
      </c>
      <c r="C6" s="9">
        <f t="shared" si="0"/>
        <v>-170892.96</v>
      </c>
      <c r="D6" s="9">
        <f t="shared" si="0"/>
        <v>-156723.93</v>
      </c>
      <c r="E6" s="9">
        <f t="shared" si="1"/>
        <v>-157533.12</v>
      </c>
      <c r="F6" s="9">
        <f t="shared" si="2"/>
        <v>-166021.04999999999</v>
      </c>
      <c r="G6" s="9">
        <f t="shared" si="3"/>
        <v>-154082.21</v>
      </c>
      <c r="H6" s="9">
        <f t="shared" si="4"/>
        <v>-165791.4</v>
      </c>
      <c r="I6" s="9">
        <f t="shared" si="5"/>
        <v>-169845.16</v>
      </c>
      <c r="J6" s="9">
        <f t="shared" si="6"/>
        <v>-174467.78000000003</v>
      </c>
      <c r="K6" s="9">
        <f t="shared" si="7"/>
        <v>-176198.28000000003</v>
      </c>
      <c r="L6" s="9">
        <f t="shared" si="8"/>
        <v>-166133.90000000002</v>
      </c>
      <c r="M6" s="9">
        <f t="shared" si="9"/>
        <v>-168431.99000000005</v>
      </c>
      <c r="N6" s="9">
        <f>B6</f>
        <v>-159157.87</v>
      </c>
    </row>
    <row r="7" spans="1:18" ht="20.25" customHeight="1" thickBot="1" x14ac:dyDescent="0.3">
      <c r="A7" s="10" t="s">
        <v>12</v>
      </c>
      <c r="B7" s="11">
        <f>SUM(B8:B14)</f>
        <v>75180.179999999993</v>
      </c>
      <c r="C7" s="11">
        <f>SUM(C8:C14)</f>
        <v>73241.429999999993</v>
      </c>
      <c r="D7" s="11">
        <f>SUM(D8:D14)</f>
        <v>71672.81</v>
      </c>
      <c r="E7" s="11">
        <f t="shared" ref="E7:G7" si="10">SUM(E8:E14)</f>
        <v>72279.289999999994</v>
      </c>
      <c r="F7" s="11">
        <f t="shared" si="10"/>
        <v>71646.92</v>
      </c>
      <c r="G7" s="11">
        <f t="shared" si="10"/>
        <v>74977.2</v>
      </c>
      <c r="H7" s="11">
        <f>SUM(H8:H14)</f>
        <v>74742.64</v>
      </c>
      <c r="I7" s="11">
        <f>SUM(I8:I14)</f>
        <v>76486.81</v>
      </c>
      <c r="J7" s="11">
        <f>SUM(J8:J14)</f>
        <v>71646.92</v>
      </c>
      <c r="K7" s="11">
        <f t="shared" ref="K7:M7" si="11">SUM(K8:K14)</f>
        <v>71718.289999999994</v>
      </c>
      <c r="L7" s="11">
        <f t="shared" si="11"/>
        <v>76797.88</v>
      </c>
      <c r="M7" s="11">
        <f t="shared" si="11"/>
        <v>73401.34</v>
      </c>
      <c r="N7" s="11">
        <f>SUM(B7:M7)</f>
        <v>883791.71000000008</v>
      </c>
    </row>
    <row r="8" spans="1:18" ht="21" customHeight="1" thickBot="1" x14ac:dyDescent="0.3">
      <c r="A8" s="3" t="s">
        <v>28</v>
      </c>
      <c r="B8" s="12">
        <f t="shared" ref="B8:G8" si="12">69602.45+893.2</f>
        <v>70495.649999999994</v>
      </c>
      <c r="C8" s="12">
        <f t="shared" si="12"/>
        <v>70495.649999999994</v>
      </c>
      <c r="D8" s="12">
        <f t="shared" si="12"/>
        <v>70495.649999999994</v>
      </c>
      <c r="E8" s="12">
        <f t="shared" si="12"/>
        <v>70495.649999999994</v>
      </c>
      <c r="F8" s="12">
        <f t="shared" si="12"/>
        <v>70495.649999999994</v>
      </c>
      <c r="G8" s="12">
        <f t="shared" si="12"/>
        <v>70495.649999999994</v>
      </c>
      <c r="H8" s="12">
        <f t="shared" ref="H8:M8" si="13">69602.45+893.2</f>
        <v>70495.649999999994</v>
      </c>
      <c r="I8" s="12">
        <f t="shared" si="13"/>
        <v>70495.649999999994</v>
      </c>
      <c r="J8" s="12">
        <f t="shared" si="13"/>
        <v>70495.649999999994</v>
      </c>
      <c r="K8" s="12">
        <f t="shared" si="13"/>
        <v>70495.649999999994</v>
      </c>
      <c r="L8" s="12">
        <f t="shared" si="13"/>
        <v>70495.649999999994</v>
      </c>
      <c r="M8" s="12">
        <f t="shared" si="13"/>
        <v>70495.649999999994</v>
      </c>
      <c r="N8" s="12">
        <f>SUM(B8:M8)</f>
        <v>845947.80000000016</v>
      </c>
    </row>
    <row r="9" spans="1:18" ht="21" customHeight="1" thickBot="1" x14ac:dyDescent="0.3">
      <c r="A9" s="3" t="s">
        <v>17</v>
      </c>
      <c r="B9" s="12">
        <v>126.5</v>
      </c>
      <c r="C9" s="12">
        <v>763.23</v>
      </c>
      <c r="D9" s="12">
        <v>25.89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f t="shared" ref="N9:N14" si="14">SUM(B9:M9)</f>
        <v>915.62</v>
      </c>
    </row>
    <row r="10" spans="1:18" ht="21" customHeight="1" thickBot="1" x14ac:dyDescent="0.3">
      <c r="A10" s="3" t="s">
        <v>18</v>
      </c>
      <c r="B10" s="12">
        <v>256.45</v>
      </c>
      <c r="C10" s="12">
        <v>256.45</v>
      </c>
      <c r="D10" s="12">
        <v>256.45</v>
      </c>
      <c r="E10" s="12">
        <v>256.45</v>
      </c>
      <c r="F10" s="12">
        <v>256.45</v>
      </c>
      <c r="G10" s="12">
        <v>256.45</v>
      </c>
      <c r="H10" s="12">
        <v>256.45</v>
      </c>
      <c r="I10" s="12">
        <v>256.45</v>
      </c>
      <c r="J10" s="12">
        <v>256.45</v>
      </c>
      <c r="K10" s="12">
        <v>256.45</v>
      </c>
      <c r="L10" s="12">
        <v>256.45</v>
      </c>
      <c r="M10" s="12">
        <v>256.45</v>
      </c>
      <c r="N10" s="12">
        <f t="shared" si="14"/>
        <v>3077.3999999999992</v>
      </c>
    </row>
    <row r="11" spans="1:18" ht="21" customHeight="1" thickBot="1" x14ac:dyDescent="0.3">
      <c r="A11" s="3" t="s">
        <v>19</v>
      </c>
      <c r="B11" s="12">
        <v>3406.76</v>
      </c>
      <c r="C11" s="12">
        <v>831.28</v>
      </c>
      <c r="D11" s="12">
        <v>0</v>
      </c>
      <c r="E11" s="12">
        <v>632.37</v>
      </c>
      <c r="F11" s="12">
        <v>0</v>
      </c>
      <c r="G11" s="12">
        <v>3330.28</v>
      </c>
      <c r="H11" s="12">
        <v>3095.72</v>
      </c>
      <c r="I11" s="12">
        <v>4839.8900000000003</v>
      </c>
      <c r="J11" s="12">
        <v>0</v>
      </c>
      <c r="K11" s="12">
        <v>71.37</v>
      </c>
      <c r="L11" s="12">
        <v>5150.96</v>
      </c>
      <c r="M11" s="12">
        <v>1754.42</v>
      </c>
      <c r="N11" s="12">
        <f t="shared" si="14"/>
        <v>23113.050000000003</v>
      </c>
    </row>
    <row r="12" spans="1:18" ht="21" customHeight="1" thickBot="1" x14ac:dyDescent="0.3">
      <c r="A12" s="3" t="s">
        <v>25</v>
      </c>
      <c r="B12" s="12">
        <v>494.82</v>
      </c>
      <c r="C12" s="12">
        <v>494.82</v>
      </c>
      <c r="D12" s="12">
        <v>494.82</v>
      </c>
      <c r="E12" s="12">
        <v>494.82</v>
      </c>
      <c r="F12" s="12">
        <v>494.82</v>
      </c>
      <c r="G12" s="12">
        <v>494.82</v>
      </c>
      <c r="H12" s="12">
        <v>494.82</v>
      </c>
      <c r="I12" s="12">
        <v>494.82</v>
      </c>
      <c r="J12" s="12">
        <v>494.82</v>
      </c>
      <c r="K12" s="12">
        <v>494.82</v>
      </c>
      <c r="L12" s="12">
        <v>494.82</v>
      </c>
      <c r="M12" s="12">
        <v>494.82</v>
      </c>
      <c r="N12" s="12">
        <f t="shared" si="14"/>
        <v>5937.8399999999992</v>
      </c>
    </row>
    <row r="13" spans="1:18" ht="21" hidden="1" customHeight="1" thickBot="1" x14ac:dyDescent="0.3">
      <c r="A13" s="3" t="s">
        <v>27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>
        <f t="shared" si="14"/>
        <v>0</v>
      </c>
    </row>
    <row r="14" spans="1:18" ht="21" customHeight="1" thickBot="1" x14ac:dyDescent="0.3">
      <c r="A14" s="3" t="s">
        <v>15</v>
      </c>
      <c r="B14" s="12">
        <v>400</v>
      </c>
      <c r="C14" s="12">
        <v>400</v>
      </c>
      <c r="D14" s="12">
        <v>400</v>
      </c>
      <c r="E14" s="12">
        <v>400</v>
      </c>
      <c r="F14" s="12">
        <v>400</v>
      </c>
      <c r="G14" s="12">
        <v>400</v>
      </c>
      <c r="H14" s="12">
        <v>400</v>
      </c>
      <c r="I14" s="12">
        <v>400</v>
      </c>
      <c r="J14" s="12">
        <v>400</v>
      </c>
      <c r="K14" s="12">
        <v>400</v>
      </c>
      <c r="L14" s="12">
        <v>400</v>
      </c>
      <c r="M14" s="12">
        <v>400</v>
      </c>
      <c r="N14" s="12">
        <f t="shared" si="14"/>
        <v>4800</v>
      </c>
    </row>
    <row r="15" spans="1:18" ht="20.25" customHeight="1" thickBot="1" x14ac:dyDescent="0.3">
      <c r="A15" s="13" t="s">
        <v>8</v>
      </c>
      <c r="B15" s="14">
        <f>SUM(B16:B22)</f>
        <v>63445.09</v>
      </c>
      <c r="C15" s="14">
        <f t="shared" ref="C15:M15" si="15">SUM(C16:C22)</f>
        <v>87410.46</v>
      </c>
      <c r="D15" s="14">
        <f t="shared" si="15"/>
        <v>70863.62</v>
      </c>
      <c r="E15" s="14">
        <f t="shared" si="15"/>
        <v>63791.360000000001</v>
      </c>
      <c r="F15" s="14">
        <f t="shared" si="15"/>
        <v>83585.759999999995</v>
      </c>
      <c r="G15" s="14">
        <f t="shared" si="15"/>
        <v>63268.009999999995</v>
      </c>
      <c r="H15" s="14">
        <f t="shared" si="15"/>
        <v>70688.87999999999</v>
      </c>
      <c r="I15" s="14">
        <f t="shared" si="15"/>
        <v>71864.189999999988</v>
      </c>
      <c r="J15" s="14">
        <f t="shared" si="15"/>
        <v>69916.42</v>
      </c>
      <c r="K15" s="14">
        <f t="shared" si="15"/>
        <v>81782.670000000013</v>
      </c>
      <c r="L15" s="14">
        <f t="shared" si="15"/>
        <v>74499.789999999994</v>
      </c>
      <c r="M15" s="14">
        <f t="shared" si="15"/>
        <v>76805.97</v>
      </c>
      <c r="N15" s="14">
        <f>SUM(B15:M15)</f>
        <v>877922.22000000009</v>
      </c>
    </row>
    <row r="16" spans="1:18" ht="24" customHeight="1" thickBot="1" x14ac:dyDescent="0.3">
      <c r="A16" s="3" t="s">
        <v>29</v>
      </c>
      <c r="B16" s="12">
        <f>58670.02+773.51</f>
        <v>59443.53</v>
      </c>
      <c r="C16" s="12">
        <f>80508.31+891.02</f>
        <v>81399.33</v>
      </c>
      <c r="D16" s="12">
        <f>67108.62+917.75</f>
        <v>68026.37</v>
      </c>
      <c r="E16" s="12">
        <f>61819.29+791.93</f>
        <v>62611.22</v>
      </c>
      <c r="F16" s="12">
        <f>80064.85+1129.35</f>
        <v>81194.200000000012</v>
      </c>
      <c r="G16" s="12">
        <f>61398.36+766.92</f>
        <v>62165.279999999999</v>
      </c>
      <c r="H16" s="12">
        <f>65730.9+828.11</f>
        <v>66559.009999999995</v>
      </c>
      <c r="I16" s="12">
        <f>67015.29+799.14</f>
        <v>67814.429999999993</v>
      </c>
      <c r="J16" s="12">
        <f>63694.16+800.07</f>
        <v>64494.23</v>
      </c>
      <c r="K16" s="12">
        <f>78779.21+1043.09</f>
        <v>79822.3</v>
      </c>
      <c r="L16" s="12">
        <f>71994.4+944.35</f>
        <v>72938.75</v>
      </c>
      <c r="M16" s="12">
        <f>69907.45+835.74</f>
        <v>70743.19</v>
      </c>
      <c r="N16" s="12">
        <f>SUM(B16:M16)</f>
        <v>837211.83999999985</v>
      </c>
    </row>
    <row r="17" spans="1:14" ht="24" customHeight="1" thickBot="1" x14ac:dyDescent="0.3">
      <c r="A17" s="3" t="s">
        <v>17</v>
      </c>
      <c r="B17" s="12">
        <v>216.75</v>
      </c>
      <c r="C17" s="12">
        <v>857.67</v>
      </c>
      <c r="D17" s="12">
        <v>779.66</v>
      </c>
      <c r="E17" s="12">
        <v>57.27</v>
      </c>
      <c r="F17" s="12">
        <v>256.48</v>
      </c>
      <c r="G17" s="12">
        <v>17.489999999999998</v>
      </c>
      <c r="H17" s="12">
        <v>32.46</v>
      </c>
      <c r="I17" s="12">
        <v>12.18</v>
      </c>
      <c r="J17" s="12">
        <v>25.38</v>
      </c>
      <c r="K17" s="12">
        <v>82.61</v>
      </c>
      <c r="L17" s="12">
        <v>63.9</v>
      </c>
      <c r="M17" s="12">
        <v>27.46</v>
      </c>
      <c r="N17" s="12">
        <f t="shared" ref="N17:N22" si="16">SUM(B17:M17)</f>
        <v>2429.31</v>
      </c>
    </row>
    <row r="18" spans="1:14" ht="24" customHeight="1" thickBot="1" x14ac:dyDescent="0.3">
      <c r="A18" s="3" t="s">
        <v>18</v>
      </c>
      <c r="B18" s="12">
        <v>157.75</v>
      </c>
      <c r="C18" s="12">
        <v>297.57</v>
      </c>
      <c r="D18" s="12">
        <v>245.12</v>
      </c>
      <c r="E18" s="12">
        <v>231.31</v>
      </c>
      <c r="F18" s="12">
        <v>295.06</v>
      </c>
      <c r="G18" s="12">
        <v>226.34</v>
      </c>
      <c r="H18" s="12">
        <v>243.4</v>
      </c>
      <c r="I18" s="12">
        <v>246.94</v>
      </c>
      <c r="J18" s="12">
        <v>236.2</v>
      </c>
      <c r="K18" s="12">
        <v>293.2</v>
      </c>
      <c r="L18" s="12">
        <v>266.89</v>
      </c>
      <c r="M18" s="12">
        <v>259.79000000000002</v>
      </c>
      <c r="N18" s="12">
        <f t="shared" si="16"/>
        <v>2999.5699999999997</v>
      </c>
    </row>
    <row r="19" spans="1:14" ht="24" customHeight="1" thickBot="1" x14ac:dyDescent="0.3">
      <c r="A19" s="3" t="s">
        <v>19</v>
      </c>
      <c r="B19" s="12">
        <v>2817.78</v>
      </c>
      <c r="C19" s="12">
        <v>3878.89</v>
      </c>
      <c r="D19" s="12">
        <v>945.12</v>
      </c>
      <c r="E19" s="12">
        <v>45.3</v>
      </c>
      <c r="F19" s="12">
        <v>876.29</v>
      </c>
      <c r="G19" s="12">
        <v>22.58</v>
      </c>
      <c r="H19" s="12">
        <v>2985.93</v>
      </c>
      <c r="I19" s="12">
        <v>2914.46</v>
      </c>
      <c r="J19" s="12">
        <v>4306.66</v>
      </c>
      <c r="K19" s="12">
        <v>621.96</v>
      </c>
      <c r="L19" s="12">
        <v>317.64</v>
      </c>
      <c r="M19" s="12">
        <v>4876.47</v>
      </c>
      <c r="N19" s="12">
        <f t="shared" si="16"/>
        <v>24609.08</v>
      </c>
    </row>
    <row r="20" spans="1:14" ht="24" customHeight="1" thickBot="1" x14ac:dyDescent="0.3">
      <c r="A20" s="3" t="s">
        <v>25</v>
      </c>
      <c r="B20" s="12">
        <v>409.28</v>
      </c>
      <c r="C20" s="12">
        <v>577</v>
      </c>
      <c r="D20" s="12">
        <v>467.35</v>
      </c>
      <c r="E20" s="12">
        <v>446.26</v>
      </c>
      <c r="F20" s="12">
        <v>563.73</v>
      </c>
      <c r="G20" s="12">
        <v>436.32</v>
      </c>
      <c r="H20" s="12">
        <v>468.08</v>
      </c>
      <c r="I20" s="12">
        <v>476.18</v>
      </c>
      <c r="J20" s="12">
        <v>453.95</v>
      </c>
      <c r="K20" s="12">
        <v>562.6</v>
      </c>
      <c r="L20" s="12">
        <v>512.61</v>
      </c>
      <c r="M20" s="12">
        <v>499.06</v>
      </c>
      <c r="N20" s="12">
        <f t="shared" si="16"/>
        <v>5872.42</v>
      </c>
    </row>
    <row r="21" spans="1:14" ht="24" hidden="1" customHeight="1" thickBot="1" x14ac:dyDescent="0.3">
      <c r="A21" s="3" t="s">
        <v>27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>
        <f t="shared" si="16"/>
        <v>0</v>
      </c>
    </row>
    <row r="22" spans="1:14" ht="24" customHeight="1" thickBot="1" x14ac:dyDescent="0.3">
      <c r="A22" s="3" t="s">
        <v>15</v>
      </c>
      <c r="B22" s="12">
        <v>400</v>
      </c>
      <c r="C22" s="12">
        <v>400</v>
      </c>
      <c r="D22" s="12">
        <v>400</v>
      </c>
      <c r="E22" s="12">
        <v>400</v>
      </c>
      <c r="F22" s="12">
        <v>400</v>
      </c>
      <c r="G22" s="12">
        <v>400</v>
      </c>
      <c r="H22" s="12">
        <v>400</v>
      </c>
      <c r="I22" s="12">
        <v>400</v>
      </c>
      <c r="J22" s="12">
        <v>400</v>
      </c>
      <c r="K22" s="12">
        <v>400</v>
      </c>
      <c r="L22" s="12">
        <v>400</v>
      </c>
      <c r="M22" s="12">
        <v>400</v>
      </c>
      <c r="N22" s="12">
        <f t="shared" si="16"/>
        <v>4800</v>
      </c>
    </row>
    <row r="23" spans="1:14" ht="24" customHeight="1" thickBot="1" x14ac:dyDescent="0.3">
      <c r="A23" s="4" t="s">
        <v>24</v>
      </c>
      <c r="B23" s="22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4"/>
    </row>
    <row r="24" spans="1:14" ht="24" customHeight="1" thickBot="1" x14ac:dyDescent="0.3">
      <c r="A24" s="3" t="s">
        <v>1</v>
      </c>
      <c r="B24" s="12">
        <f>3308.1*0.6</f>
        <v>1984.86</v>
      </c>
      <c r="C24" s="12">
        <f t="shared" ref="C24:M24" si="17">3308.1*0.6</f>
        <v>1984.86</v>
      </c>
      <c r="D24" s="12">
        <f t="shared" si="17"/>
        <v>1984.86</v>
      </c>
      <c r="E24" s="12">
        <f t="shared" si="17"/>
        <v>1984.86</v>
      </c>
      <c r="F24" s="12">
        <f t="shared" si="17"/>
        <v>1984.86</v>
      </c>
      <c r="G24" s="12">
        <f t="shared" si="17"/>
        <v>1984.86</v>
      </c>
      <c r="H24" s="12">
        <f t="shared" si="17"/>
        <v>1984.86</v>
      </c>
      <c r="I24" s="12">
        <f t="shared" si="17"/>
        <v>1984.86</v>
      </c>
      <c r="J24" s="12">
        <f t="shared" si="17"/>
        <v>1984.86</v>
      </c>
      <c r="K24" s="12">
        <f t="shared" si="17"/>
        <v>1984.86</v>
      </c>
      <c r="L24" s="12">
        <f t="shared" si="17"/>
        <v>1984.86</v>
      </c>
      <c r="M24" s="12">
        <f t="shared" si="17"/>
        <v>1984.86</v>
      </c>
      <c r="N24" s="12">
        <f t="shared" ref="N24:N37" si="18">SUM(B24:M24)</f>
        <v>23818.320000000003</v>
      </c>
    </row>
    <row r="25" spans="1:14" ht="24" customHeight="1" thickBot="1" x14ac:dyDescent="0.3">
      <c r="A25" s="3" t="s">
        <v>2</v>
      </c>
      <c r="B25" s="12">
        <f t="shared" ref="B25:M25" si="19">3308.1*0.17</f>
        <v>562.37700000000007</v>
      </c>
      <c r="C25" s="12">
        <f t="shared" si="19"/>
        <v>562.37700000000007</v>
      </c>
      <c r="D25" s="12">
        <f t="shared" si="19"/>
        <v>562.37700000000007</v>
      </c>
      <c r="E25" s="12">
        <f t="shared" si="19"/>
        <v>562.37700000000007</v>
      </c>
      <c r="F25" s="12">
        <f t="shared" si="19"/>
        <v>562.37700000000007</v>
      </c>
      <c r="G25" s="12">
        <f t="shared" si="19"/>
        <v>562.37700000000007</v>
      </c>
      <c r="H25" s="12">
        <f t="shared" si="19"/>
        <v>562.37700000000007</v>
      </c>
      <c r="I25" s="12">
        <f t="shared" si="19"/>
        <v>562.37700000000007</v>
      </c>
      <c r="J25" s="12">
        <f t="shared" si="19"/>
        <v>562.37700000000007</v>
      </c>
      <c r="K25" s="12">
        <f t="shared" si="19"/>
        <v>562.37700000000007</v>
      </c>
      <c r="L25" s="12">
        <f t="shared" si="19"/>
        <v>562.37700000000007</v>
      </c>
      <c r="M25" s="12">
        <f t="shared" si="19"/>
        <v>562.37700000000007</v>
      </c>
      <c r="N25" s="12">
        <f t="shared" si="18"/>
        <v>6748.5240000000022</v>
      </c>
    </row>
    <row r="26" spans="1:14" ht="24" customHeight="1" thickBot="1" x14ac:dyDescent="0.3">
      <c r="A26" s="3" t="s">
        <v>3</v>
      </c>
      <c r="B26" s="12">
        <f>74780.18*2.3%</f>
        <v>1719.9441399999998</v>
      </c>
      <c r="C26" s="12">
        <f>72841.43*2.3%</f>
        <v>1675.3528899999999</v>
      </c>
      <c r="D26" s="12">
        <f>71272.81*2.3%</f>
        <v>1639.2746299999999</v>
      </c>
      <c r="E26" s="12">
        <f>71879.29*2.3%</f>
        <v>1653.2236699999999</v>
      </c>
      <c r="F26" s="12">
        <f>71246.92*2.3%</f>
        <v>1638.6791599999999</v>
      </c>
      <c r="G26" s="12">
        <f>74577.2*2.3%</f>
        <v>1715.2755999999999</v>
      </c>
      <c r="H26" s="12">
        <f>74342.64*2.3%</f>
        <v>1709.8807199999999</v>
      </c>
      <c r="I26" s="12">
        <f>76086.81*2.3%</f>
        <v>1749.9966299999999</v>
      </c>
      <c r="J26" s="12">
        <f>71246.92*2.3%</f>
        <v>1638.6791599999999</v>
      </c>
      <c r="K26" s="12">
        <f>71318.29*2.3%</f>
        <v>1640.3206699999998</v>
      </c>
      <c r="L26" s="12">
        <f>76397.88*2.3%</f>
        <v>1757.1512400000001</v>
      </c>
      <c r="M26" s="12">
        <f>73001.34*2.3%</f>
        <v>1679.0308199999999</v>
      </c>
      <c r="N26" s="12">
        <f t="shared" si="18"/>
        <v>20216.809329999996</v>
      </c>
    </row>
    <row r="27" spans="1:14" ht="24" customHeight="1" thickBot="1" x14ac:dyDescent="0.3">
      <c r="A27" s="3" t="s">
        <v>4</v>
      </c>
      <c r="B27" s="12">
        <f>63045.09*3%</f>
        <v>1891.3526999999999</v>
      </c>
      <c r="C27" s="12">
        <f>87010.46*3%</f>
        <v>2610.3137999999999</v>
      </c>
      <c r="D27" s="12">
        <f>70463.62*3%</f>
        <v>2113.9085999999998</v>
      </c>
      <c r="E27" s="12">
        <f>63391.36*3%</f>
        <v>1901.7408</v>
      </c>
      <c r="F27" s="12">
        <f>83185.76*3%</f>
        <v>2495.5727999999999</v>
      </c>
      <c r="G27" s="12">
        <f>62868.01*3%</f>
        <v>1886.0402999999999</v>
      </c>
      <c r="H27" s="12">
        <f>70288.88*3%</f>
        <v>2108.6664000000001</v>
      </c>
      <c r="I27" s="12">
        <f>71464.19*3%</f>
        <v>2143.9256999999998</v>
      </c>
      <c r="J27" s="12">
        <f>69516.42*3%</f>
        <v>2085.4926</v>
      </c>
      <c r="K27" s="12">
        <f>81382.67*3%</f>
        <v>2441.4800999999998</v>
      </c>
      <c r="L27" s="12">
        <f>74099.79*3%</f>
        <v>2222.9936999999995</v>
      </c>
      <c r="M27" s="12">
        <f>76405.97*3%</f>
        <v>2292.1790999999998</v>
      </c>
      <c r="N27" s="12">
        <f t="shared" si="18"/>
        <v>26193.6666</v>
      </c>
    </row>
    <row r="28" spans="1:14" ht="24" customHeight="1" thickBot="1" x14ac:dyDescent="0.3">
      <c r="A28" s="3" t="s">
        <v>9</v>
      </c>
      <c r="B28" s="12">
        <f t="shared" ref="B28:M28" si="20">3308.1*9.7</f>
        <v>32088.569999999996</v>
      </c>
      <c r="C28" s="12">
        <f t="shared" si="20"/>
        <v>32088.569999999996</v>
      </c>
      <c r="D28" s="12">
        <f t="shared" si="20"/>
        <v>32088.569999999996</v>
      </c>
      <c r="E28" s="12">
        <f t="shared" si="20"/>
        <v>32088.569999999996</v>
      </c>
      <c r="F28" s="12">
        <f t="shared" si="20"/>
        <v>32088.569999999996</v>
      </c>
      <c r="G28" s="12">
        <f t="shared" si="20"/>
        <v>32088.569999999996</v>
      </c>
      <c r="H28" s="12">
        <f t="shared" si="20"/>
        <v>32088.569999999996</v>
      </c>
      <c r="I28" s="12">
        <f t="shared" si="20"/>
        <v>32088.569999999996</v>
      </c>
      <c r="J28" s="12">
        <f t="shared" si="20"/>
        <v>32088.569999999996</v>
      </c>
      <c r="K28" s="12">
        <f t="shared" si="20"/>
        <v>32088.569999999996</v>
      </c>
      <c r="L28" s="12">
        <f t="shared" si="20"/>
        <v>32088.569999999996</v>
      </c>
      <c r="M28" s="12">
        <f t="shared" si="20"/>
        <v>32088.569999999996</v>
      </c>
      <c r="N28" s="12">
        <f t="shared" si="18"/>
        <v>385062.84</v>
      </c>
    </row>
    <row r="29" spans="1:14" ht="24" customHeight="1" thickBot="1" x14ac:dyDescent="0.3">
      <c r="A29" s="3" t="s">
        <v>20</v>
      </c>
      <c r="B29" s="12">
        <f>757.7+5.51</f>
        <v>763.21</v>
      </c>
      <c r="C29" s="12">
        <f>25.75+0.04</f>
        <v>25.79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f>0+0.02</f>
        <v>0.02</v>
      </c>
      <c r="K29" s="12">
        <v>0</v>
      </c>
      <c r="L29" s="12">
        <f>0+0.04</f>
        <v>0.04</v>
      </c>
      <c r="M29" s="12">
        <f>656.69+0.01</f>
        <v>656.7</v>
      </c>
      <c r="N29" s="12">
        <f t="shared" si="18"/>
        <v>1445.76</v>
      </c>
    </row>
    <row r="30" spans="1:14" ht="24" customHeight="1" thickBot="1" x14ac:dyDescent="0.3">
      <c r="A30" s="3" t="s">
        <v>21</v>
      </c>
      <c r="B30" s="12">
        <v>384.66</v>
      </c>
      <c r="C30" s="12">
        <v>384.66</v>
      </c>
      <c r="D30" s="12">
        <v>384.66</v>
      </c>
      <c r="E30" s="12">
        <v>384.66</v>
      </c>
      <c r="F30" s="12">
        <v>384.66</v>
      </c>
      <c r="G30" s="12">
        <v>384.66</v>
      </c>
      <c r="H30" s="12">
        <v>384.66</v>
      </c>
      <c r="I30" s="12">
        <v>384.66</v>
      </c>
      <c r="J30" s="12">
        <v>384.66</v>
      </c>
      <c r="K30" s="12">
        <v>384.66</v>
      </c>
      <c r="L30" s="12">
        <v>384.66</v>
      </c>
      <c r="M30" s="12">
        <v>384.66</v>
      </c>
      <c r="N30" s="12">
        <f t="shared" si="18"/>
        <v>4615.9199999999992</v>
      </c>
    </row>
    <row r="31" spans="1:14" ht="24" customHeight="1" thickBot="1" x14ac:dyDescent="0.3">
      <c r="A31" s="3" t="s">
        <v>22</v>
      </c>
      <c r="B31" s="12">
        <v>831.3</v>
      </c>
      <c r="C31" s="12">
        <v>0</v>
      </c>
      <c r="D31" s="12">
        <v>632.4</v>
      </c>
      <c r="E31" s="12">
        <v>0</v>
      </c>
      <c r="F31" s="12">
        <v>3330.29</v>
      </c>
      <c r="G31" s="12">
        <v>3095.7</v>
      </c>
      <c r="H31" s="12">
        <v>4839.8999999999996</v>
      </c>
      <c r="I31" s="12">
        <v>0</v>
      </c>
      <c r="J31" s="12">
        <v>71.400000000000006</v>
      </c>
      <c r="K31" s="12">
        <v>5151</v>
      </c>
      <c r="L31" s="12">
        <v>1754.4</v>
      </c>
      <c r="M31" s="12">
        <v>698.7</v>
      </c>
      <c r="N31" s="12">
        <f t="shared" si="18"/>
        <v>20405.09</v>
      </c>
    </row>
    <row r="32" spans="1:14" ht="22.8" customHeight="1" thickBot="1" x14ac:dyDescent="0.3">
      <c r="A32" s="3" t="s">
        <v>25</v>
      </c>
      <c r="B32" s="12">
        <v>494.82</v>
      </c>
      <c r="C32" s="12">
        <v>494.82</v>
      </c>
      <c r="D32" s="12">
        <v>494.82</v>
      </c>
      <c r="E32" s="12">
        <v>494.82</v>
      </c>
      <c r="F32" s="12">
        <v>494.82</v>
      </c>
      <c r="G32" s="12">
        <v>494.82</v>
      </c>
      <c r="H32" s="12">
        <v>494.82</v>
      </c>
      <c r="I32" s="12">
        <v>494.82</v>
      </c>
      <c r="J32" s="12">
        <v>494.82</v>
      </c>
      <c r="K32" s="12">
        <v>494.82</v>
      </c>
      <c r="L32" s="12">
        <v>494.82</v>
      </c>
      <c r="M32" s="12">
        <v>494.82</v>
      </c>
      <c r="N32" s="12">
        <f t="shared" si="18"/>
        <v>5937.8399999999992</v>
      </c>
    </row>
    <row r="33" spans="1:14" ht="18.75" hidden="1" customHeight="1" thickBot="1" x14ac:dyDescent="0.3">
      <c r="A33" s="5" t="s">
        <v>27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2">
        <f t="shared" si="18"/>
        <v>0</v>
      </c>
    </row>
    <row r="34" spans="1:14" ht="24" customHeight="1" thickBot="1" x14ac:dyDescent="0.3">
      <c r="A34" s="3" t="s">
        <v>6</v>
      </c>
      <c r="B34" s="12">
        <f t="shared" ref="B34:M34" si="21">3308.1*3.15</f>
        <v>10420.514999999999</v>
      </c>
      <c r="C34" s="12">
        <f t="shared" si="21"/>
        <v>10420.514999999999</v>
      </c>
      <c r="D34" s="12">
        <f t="shared" si="21"/>
        <v>10420.514999999999</v>
      </c>
      <c r="E34" s="12">
        <f t="shared" si="21"/>
        <v>10420.514999999999</v>
      </c>
      <c r="F34" s="12">
        <f t="shared" si="21"/>
        <v>10420.514999999999</v>
      </c>
      <c r="G34" s="12">
        <f t="shared" si="21"/>
        <v>10420.514999999999</v>
      </c>
      <c r="H34" s="12">
        <f t="shared" si="21"/>
        <v>10420.514999999999</v>
      </c>
      <c r="I34" s="12">
        <f t="shared" si="21"/>
        <v>10420.514999999999</v>
      </c>
      <c r="J34" s="12">
        <f t="shared" si="21"/>
        <v>10420.514999999999</v>
      </c>
      <c r="K34" s="12">
        <f t="shared" si="21"/>
        <v>10420.514999999999</v>
      </c>
      <c r="L34" s="12">
        <f t="shared" si="21"/>
        <v>10420.514999999999</v>
      </c>
      <c r="M34" s="12">
        <f t="shared" si="21"/>
        <v>10420.514999999999</v>
      </c>
      <c r="N34" s="12">
        <f t="shared" si="18"/>
        <v>125046.18</v>
      </c>
    </row>
    <row r="35" spans="1:14" ht="26.4" customHeight="1" thickBot="1" x14ac:dyDescent="0.3">
      <c r="A35" s="3" t="s">
        <v>26</v>
      </c>
      <c r="B35" s="12">
        <v>900</v>
      </c>
      <c r="C35" s="12">
        <v>900</v>
      </c>
      <c r="D35" s="12">
        <v>900</v>
      </c>
      <c r="E35" s="12">
        <v>900</v>
      </c>
      <c r="F35" s="12">
        <v>900</v>
      </c>
      <c r="G35" s="12">
        <v>900</v>
      </c>
      <c r="H35" s="12">
        <v>900</v>
      </c>
      <c r="I35" s="12">
        <v>900</v>
      </c>
      <c r="J35" s="12">
        <v>900</v>
      </c>
      <c r="K35" s="12">
        <v>900</v>
      </c>
      <c r="L35" s="12">
        <v>900</v>
      </c>
      <c r="M35" s="12">
        <v>900</v>
      </c>
      <c r="N35" s="12">
        <f t="shared" si="18"/>
        <v>10800</v>
      </c>
    </row>
    <row r="36" spans="1:14" ht="26.4" customHeight="1" thickBot="1" x14ac:dyDescent="0.3">
      <c r="A36" s="3" t="s">
        <v>14</v>
      </c>
      <c r="B36" s="12">
        <v>0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14287.54</v>
      </c>
      <c r="L36" s="12">
        <v>0</v>
      </c>
      <c r="M36" s="12">
        <v>0</v>
      </c>
      <c r="N36" s="12">
        <f t="shared" si="18"/>
        <v>14287.54</v>
      </c>
    </row>
    <row r="37" spans="1:14" ht="25.8" customHeight="1" thickBot="1" x14ac:dyDescent="0.3">
      <c r="A37" s="3" t="s">
        <v>10</v>
      </c>
      <c r="B37" s="12">
        <f>500</f>
        <v>500</v>
      </c>
      <c r="C37" s="12">
        <f>1252.97</f>
        <v>1252.97</v>
      </c>
      <c r="D37" s="12">
        <f>2499+3309</f>
        <v>5808</v>
      </c>
      <c r="E37" s="12">
        <v>0</v>
      </c>
      <c r="F37" s="12">
        <f>21725+5277.2+105</f>
        <v>27107.200000000001</v>
      </c>
      <c r="G37" s="12">
        <f>1252.97+2412.2</f>
        <v>3665.17</v>
      </c>
      <c r="H37" s="12">
        <v>0</v>
      </c>
      <c r="I37" s="12">
        <v>0</v>
      </c>
      <c r="J37" s="12">
        <f>2585</f>
        <v>2585</v>
      </c>
      <c r="K37" s="12">
        <v>0</v>
      </c>
      <c r="L37" s="12">
        <f>20150+4232.1</f>
        <v>24382.1</v>
      </c>
      <c r="M37" s="12">
        <v>0</v>
      </c>
      <c r="N37" s="12">
        <f t="shared" si="18"/>
        <v>65300.439999999995</v>
      </c>
    </row>
    <row r="38" spans="1:14" ht="22.5" customHeight="1" thickBot="1" x14ac:dyDescent="0.3">
      <c r="A38" s="10" t="s">
        <v>23</v>
      </c>
      <c r="B38" s="11">
        <f t="shared" ref="B38:M38" si="22">SUM(B24:B37)</f>
        <v>52541.608840000001</v>
      </c>
      <c r="C38" s="11">
        <f t="shared" si="22"/>
        <v>52400.228690000004</v>
      </c>
      <c r="D38" s="11">
        <f t="shared" si="22"/>
        <v>57029.38523</v>
      </c>
      <c r="E38" s="11">
        <f t="shared" si="22"/>
        <v>50390.766469999995</v>
      </c>
      <c r="F38" s="11">
        <f t="shared" si="22"/>
        <v>81407.543959999995</v>
      </c>
      <c r="G38" s="11">
        <f t="shared" si="22"/>
        <v>57197.987899999993</v>
      </c>
      <c r="H38" s="11">
        <f t="shared" si="22"/>
        <v>55494.24912</v>
      </c>
      <c r="I38" s="11">
        <f t="shared" si="22"/>
        <v>50729.724329999997</v>
      </c>
      <c r="J38" s="11">
        <f t="shared" si="22"/>
        <v>53216.393759999999</v>
      </c>
      <c r="K38" s="11">
        <f t="shared" si="22"/>
        <v>70356.142770000006</v>
      </c>
      <c r="L38" s="11">
        <f t="shared" si="22"/>
        <v>76952.486940000003</v>
      </c>
      <c r="M38" s="11">
        <f t="shared" si="22"/>
        <v>52162.411919999991</v>
      </c>
      <c r="N38" s="11">
        <f>SUM(B38:M38)</f>
        <v>709878.92992999998</v>
      </c>
    </row>
    <row r="39" spans="1:14" ht="23.25" customHeight="1" thickBot="1" x14ac:dyDescent="0.3">
      <c r="A39" s="3" t="s">
        <v>5</v>
      </c>
      <c r="B39" s="16">
        <f t="shared" ref="B39:N39" si="23">B15-B38</f>
        <v>10903.481159999996</v>
      </c>
      <c r="C39" s="16">
        <f t="shared" si="23"/>
        <v>35010.231310000003</v>
      </c>
      <c r="D39" s="16">
        <f t="shared" si="23"/>
        <v>13834.234769999995</v>
      </c>
      <c r="E39" s="16">
        <f t="shared" si="23"/>
        <v>13400.593530000006</v>
      </c>
      <c r="F39" s="16">
        <f t="shared" si="23"/>
        <v>2178.2160399999993</v>
      </c>
      <c r="G39" s="16">
        <f t="shared" si="23"/>
        <v>6070.022100000002</v>
      </c>
      <c r="H39" s="16">
        <f t="shared" si="23"/>
        <v>15194.63087999999</v>
      </c>
      <c r="I39" s="16">
        <f t="shared" si="23"/>
        <v>21134.46566999999</v>
      </c>
      <c r="J39" s="16">
        <f t="shared" si="23"/>
        <v>16700.026239999999</v>
      </c>
      <c r="K39" s="16">
        <f t="shared" si="23"/>
        <v>11426.527230000007</v>
      </c>
      <c r="L39" s="16">
        <f t="shared" si="23"/>
        <v>-2452.6969400000089</v>
      </c>
      <c r="M39" s="16">
        <f t="shared" si="23"/>
        <v>24643.55808000001</v>
      </c>
      <c r="N39" s="12">
        <f t="shared" si="23"/>
        <v>168043.2900700001</v>
      </c>
    </row>
    <row r="40" spans="1:14" ht="23.25" customHeight="1" thickBot="1" x14ac:dyDescent="0.3">
      <c r="A40" s="3" t="s">
        <v>7</v>
      </c>
      <c r="B40" s="17">
        <f t="shared" ref="B40:M40" si="24">B5+B39</f>
        <v>-66045.908840000004</v>
      </c>
      <c r="C40" s="17">
        <f t="shared" si="24"/>
        <v>-31035.677530000001</v>
      </c>
      <c r="D40" s="17">
        <f t="shared" si="24"/>
        <v>-17201.442760000005</v>
      </c>
      <c r="E40" s="17">
        <f t="shared" si="24"/>
        <v>-3800.8492299999998</v>
      </c>
      <c r="F40" s="17">
        <f t="shared" si="24"/>
        <v>-1622.6331900000005</v>
      </c>
      <c r="G40" s="17">
        <f t="shared" si="24"/>
        <v>4447.3889100000015</v>
      </c>
      <c r="H40" s="17">
        <f t="shared" si="24"/>
        <v>19642.019789999991</v>
      </c>
      <c r="I40" s="17">
        <f t="shared" si="24"/>
        <v>40776.485459999982</v>
      </c>
      <c r="J40" s="17">
        <f t="shared" si="24"/>
        <v>57476.511699999981</v>
      </c>
      <c r="K40" s="17">
        <f t="shared" si="24"/>
        <v>68903.038929999981</v>
      </c>
      <c r="L40" s="17">
        <f t="shared" si="24"/>
        <v>66450.341989999972</v>
      </c>
      <c r="M40" s="17">
        <f t="shared" si="24"/>
        <v>91093.900069999974</v>
      </c>
      <c r="N40" s="16">
        <f>N5-N38+N15</f>
        <v>91093.900070000091</v>
      </c>
    </row>
    <row r="41" spans="1:14" ht="27" customHeight="1" thickBot="1" x14ac:dyDescent="0.3">
      <c r="A41" s="4" t="s">
        <v>11</v>
      </c>
      <c r="B41" s="18">
        <f>B6+B15-B7</f>
        <v>-170892.96</v>
      </c>
      <c r="C41" s="18">
        <f t="shared" ref="C41:N41" si="25">C6+C15-C7</f>
        <v>-156723.93</v>
      </c>
      <c r="D41" s="18">
        <f t="shared" si="25"/>
        <v>-157533.12</v>
      </c>
      <c r="E41" s="18">
        <f t="shared" si="25"/>
        <v>-166021.04999999999</v>
      </c>
      <c r="F41" s="18">
        <f t="shared" si="25"/>
        <v>-154082.21</v>
      </c>
      <c r="G41" s="18">
        <f t="shared" si="25"/>
        <v>-165791.4</v>
      </c>
      <c r="H41" s="18">
        <f t="shared" si="25"/>
        <v>-169845.16</v>
      </c>
      <c r="I41" s="18">
        <f t="shared" si="25"/>
        <v>-174467.78000000003</v>
      </c>
      <c r="J41" s="18">
        <f t="shared" si="25"/>
        <v>-176198.28000000003</v>
      </c>
      <c r="K41" s="18">
        <f t="shared" si="25"/>
        <v>-166133.90000000002</v>
      </c>
      <c r="L41" s="18">
        <f t="shared" si="25"/>
        <v>-168431.99000000005</v>
      </c>
      <c r="M41" s="18">
        <f t="shared" si="25"/>
        <v>-165027.36000000004</v>
      </c>
      <c r="N41" s="19">
        <f t="shared" si="25"/>
        <v>-165027.35999999999</v>
      </c>
    </row>
  </sheetData>
  <mergeCells count="2">
    <mergeCell ref="A1:N1"/>
    <mergeCell ref="B23:N23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2024-03-01T08:20:23Z</cp:lastPrinted>
  <dcterms:created xsi:type="dcterms:W3CDTF">2011-06-06T03:25:48Z</dcterms:created>
  <dcterms:modified xsi:type="dcterms:W3CDTF">2024-03-01T08:30:09Z</dcterms:modified>
</cp:coreProperties>
</file>