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39" i="1" l="1"/>
  <c r="M19" i="1" l="1"/>
  <c r="M21" i="1"/>
  <c r="M20" i="1"/>
  <c r="M23" i="1"/>
  <c r="M10" i="1"/>
  <c r="M11" i="1"/>
  <c r="M14" i="1"/>
  <c r="M9" i="1"/>
  <c r="L10" i="1"/>
  <c r="L12" i="1"/>
  <c r="L11" i="1"/>
  <c r="L14" i="1"/>
  <c r="L9" i="1"/>
  <c r="K10" i="1"/>
  <c r="K12" i="1"/>
  <c r="K11" i="1"/>
  <c r="K14" i="1"/>
  <c r="K9" i="1"/>
  <c r="L39" i="1" l="1"/>
  <c r="M31" i="1" l="1"/>
  <c r="L31" i="1"/>
  <c r="K31" i="1"/>
  <c r="K39" i="1" l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L35" i="1" l="1"/>
  <c r="M35" i="1"/>
  <c r="K35" i="1"/>
  <c r="K30" i="1"/>
  <c r="L30" i="1"/>
  <c r="M30" i="1"/>
  <c r="K27" i="1"/>
  <c r="L27" i="1"/>
  <c r="M27" i="1"/>
  <c r="K26" i="1"/>
  <c r="L26" i="1"/>
  <c r="M26" i="1"/>
  <c r="J39" i="1" l="1"/>
  <c r="J19" i="1" l="1"/>
  <c r="J21" i="1"/>
  <c r="J20" i="1"/>
  <c r="J23" i="1"/>
  <c r="J10" i="1"/>
  <c r="J12" i="1"/>
  <c r="J11" i="1"/>
  <c r="J14" i="1"/>
  <c r="J18" i="1"/>
  <c r="J9" i="1"/>
  <c r="I19" i="1"/>
  <c r="I21" i="1"/>
  <c r="I20" i="1"/>
  <c r="I23" i="1"/>
  <c r="I10" i="1"/>
  <c r="I12" i="1"/>
  <c r="I11" i="1"/>
  <c r="I14" i="1"/>
  <c r="I18" i="1"/>
  <c r="I9" i="1"/>
  <c r="H19" i="1"/>
  <c r="H21" i="1"/>
  <c r="H20" i="1"/>
  <c r="H23" i="1"/>
  <c r="H10" i="1"/>
  <c r="H12" i="1"/>
  <c r="H11" i="1"/>
  <c r="H14" i="1"/>
  <c r="H9" i="1"/>
  <c r="J31" i="1" l="1"/>
  <c r="I31" i="1"/>
  <c r="H31" i="1"/>
  <c r="I39" i="1" l="1"/>
  <c r="H35" i="1" l="1"/>
  <c r="I35" i="1"/>
  <c r="J35" i="1"/>
  <c r="J29" i="1" l="1"/>
  <c r="J17" i="1"/>
  <c r="J28" i="1"/>
  <c r="J8" i="1"/>
  <c r="I29" i="1" l="1"/>
  <c r="I17" i="1"/>
  <c r="I28" i="1"/>
  <c r="I8" i="1"/>
  <c r="H29" i="1" l="1"/>
  <c r="H17" i="1"/>
  <c r="H28" i="1"/>
  <c r="H8" i="1"/>
  <c r="H30" i="1" l="1"/>
  <c r="I30" i="1"/>
  <c r="J30" i="1"/>
  <c r="H27" i="1"/>
  <c r="I27" i="1"/>
  <c r="J27" i="1"/>
  <c r="H26" i="1"/>
  <c r="I26" i="1"/>
  <c r="J26" i="1"/>
  <c r="G39" i="1" l="1"/>
  <c r="G19" i="1" l="1"/>
  <c r="G21" i="1"/>
  <c r="G20" i="1"/>
  <c r="G23" i="1"/>
  <c r="G10" i="1"/>
  <c r="G12" i="1"/>
  <c r="G11" i="1"/>
  <c r="G14" i="1"/>
  <c r="G9" i="1"/>
  <c r="F10" i="1"/>
  <c r="F12" i="1"/>
  <c r="F11" i="1"/>
  <c r="F14" i="1"/>
  <c r="F9" i="1"/>
  <c r="E19" i="1"/>
  <c r="E21" i="1"/>
  <c r="E20" i="1"/>
  <c r="E23" i="1"/>
  <c r="E10" i="1"/>
  <c r="E12" i="1"/>
  <c r="E11" i="1"/>
  <c r="E14" i="1"/>
  <c r="E9" i="1"/>
  <c r="F39" i="1" l="1"/>
  <c r="G31" i="1" l="1"/>
  <c r="F31" i="1"/>
  <c r="E31" i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39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19" i="1" l="1"/>
  <c r="D21" i="1"/>
  <c r="D20" i="1"/>
  <c r="D23" i="1"/>
  <c r="D10" i="1"/>
  <c r="D12" i="1"/>
  <c r="D11" i="1"/>
  <c r="D14" i="1"/>
  <c r="D18" i="1"/>
  <c r="D9" i="1"/>
  <c r="C10" i="1"/>
  <c r="C12" i="1"/>
  <c r="C11" i="1"/>
  <c r="C14" i="1"/>
  <c r="C9" i="1"/>
  <c r="B21" i="1"/>
  <c r="B20" i="1"/>
  <c r="B23" i="1"/>
  <c r="B12" i="1"/>
  <c r="B11" i="1"/>
  <c r="B14" i="1"/>
  <c r="B18" i="1"/>
  <c r="B9" i="1"/>
  <c r="D39" i="1" l="1"/>
  <c r="D31" i="1" l="1"/>
  <c r="C31" i="1"/>
  <c r="B31" i="1"/>
  <c r="D29" i="1" l="1"/>
  <c r="D17" i="1"/>
  <c r="D28" i="1"/>
  <c r="D8" i="1"/>
  <c r="C39" i="1" l="1"/>
  <c r="C29" i="1" l="1"/>
  <c r="C17" i="1"/>
  <c r="C28" i="1"/>
  <c r="C8" i="1"/>
  <c r="B29" i="1" l="1"/>
  <c r="B17" i="1"/>
  <c r="B28" i="1"/>
  <c r="B8" i="1"/>
  <c r="B39" i="1" l="1"/>
  <c r="C35" i="1" l="1"/>
  <c r="D35" i="1"/>
  <c r="C30" i="1"/>
  <c r="D30" i="1"/>
  <c r="C27" i="1"/>
  <c r="D27" i="1"/>
  <c r="C26" i="1"/>
  <c r="D26" i="1"/>
  <c r="B35" i="1"/>
  <c r="B30" i="1"/>
  <c r="B27" i="1"/>
  <c r="B26" i="1"/>
  <c r="D40" i="1" l="1"/>
  <c r="E40" i="1"/>
  <c r="F40" i="1"/>
  <c r="G40" i="1"/>
  <c r="H40" i="1"/>
  <c r="I40" i="1"/>
  <c r="J40" i="1"/>
  <c r="K40" i="1"/>
  <c r="L40" i="1"/>
  <c r="M40" i="1"/>
  <c r="C40" i="1"/>
  <c r="C7" i="1" l="1"/>
  <c r="D7" i="1"/>
  <c r="E7" i="1"/>
  <c r="F7" i="1"/>
  <c r="G7" i="1"/>
  <c r="H7" i="1"/>
  <c r="I7" i="1"/>
  <c r="J7" i="1"/>
  <c r="B7" i="1"/>
  <c r="B40" i="1"/>
  <c r="N40" i="1" s="1"/>
  <c r="B16" i="1" l="1"/>
  <c r="C16" i="1"/>
  <c r="C41" i="1" s="1"/>
  <c r="D16" i="1"/>
  <c r="D41" i="1" s="1"/>
  <c r="E16" i="1"/>
  <c r="E41" i="1" s="1"/>
  <c r="F16" i="1"/>
  <c r="F41" i="1" s="1"/>
  <c r="G16" i="1"/>
  <c r="G41" i="1" s="1"/>
  <c r="H16" i="1"/>
  <c r="H41" i="1" s="1"/>
  <c r="I16" i="1"/>
  <c r="I41" i="1" s="1"/>
  <c r="B41" i="1" l="1"/>
  <c r="B42" i="1" s="1"/>
  <c r="C5" i="1" s="1"/>
  <c r="C42" i="1" s="1"/>
  <c r="D5" i="1" s="1"/>
  <c r="D42" i="1" s="1"/>
  <c r="E5" i="1" s="1"/>
  <c r="B43" i="1"/>
  <c r="C6" i="1" l="1"/>
  <c r="C43" i="1" s="1"/>
  <c r="D6" i="1" s="1"/>
  <c r="D43" i="1" s="1"/>
  <c r="E6" i="1" s="1"/>
  <c r="E43" i="1" s="1"/>
  <c r="F6" i="1" s="1"/>
  <c r="F43" i="1" l="1"/>
  <c r="G6" i="1" s="1"/>
  <c r="E42" i="1"/>
  <c r="F5" i="1" s="1"/>
  <c r="N38" i="1"/>
  <c r="G43" i="1" l="1"/>
  <c r="H6" i="1" s="1"/>
  <c r="F42" i="1"/>
  <c r="G5" i="1" s="1"/>
  <c r="N15" i="1"/>
  <c r="H43" i="1" l="1"/>
  <c r="I6" i="1" s="1"/>
  <c r="G42" i="1"/>
  <c r="H5" i="1" s="1"/>
  <c r="N39" i="1"/>
  <c r="I43" i="1" l="1"/>
  <c r="J6" i="1" s="1"/>
  <c r="H42" i="1"/>
  <c r="I5" i="1" s="1"/>
  <c r="N6" i="1"/>
  <c r="N5" i="1"/>
  <c r="I42" i="1" l="1"/>
  <c r="J5" i="1" s="1"/>
  <c r="K16" i="1"/>
  <c r="K41" i="1" s="1"/>
  <c r="K7" i="1"/>
  <c r="N26" i="1"/>
  <c r="N27" i="1"/>
  <c r="N30" i="1"/>
  <c r="N31" i="1"/>
  <c r="N32" i="1"/>
  <c r="N33" i="1"/>
  <c r="N34" i="1"/>
  <c r="N35" i="1"/>
  <c r="N36" i="1"/>
  <c r="N24" i="1"/>
  <c r="L16" i="1"/>
  <c r="L41" i="1" s="1"/>
  <c r="M16" i="1"/>
  <c r="M41" i="1" s="1"/>
  <c r="M7" i="1"/>
  <c r="N13" i="1"/>
  <c r="L7" i="1" l="1"/>
  <c r="N7" i="1" s="1"/>
  <c r="J16" i="1" l="1"/>
  <c r="N12" i="1"/>
  <c r="N29" i="1"/>
  <c r="N23" i="1"/>
  <c r="N22" i="1"/>
  <c r="N21" i="1"/>
  <c r="N20" i="1"/>
  <c r="N19" i="1"/>
  <c r="N8" i="1"/>
  <c r="N9" i="1"/>
  <c r="N14" i="1"/>
  <c r="N10" i="1"/>
  <c r="J41" i="1" l="1"/>
  <c r="J42" i="1" s="1"/>
  <c r="K5" i="1" s="1"/>
  <c r="N16" i="1"/>
  <c r="J43" i="1"/>
  <c r="K6" i="1" s="1"/>
  <c r="N11" i="1"/>
  <c r="N17" i="1"/>
  <c r="N18" i="1"/>
  <c r="N28" i="1"/>
  <c r="N41" i="1" l="1"/>
  <c r="N42" i="1" s="1"/>
  <c r="N43" i="1"/>
  <c r="N37" i="1"/>
  <c r="K42" i="1" l="1"/>
  <c r="L5" i="1" s="1"/>
  <c r="L42" i="1" l="1"/>
  <c r="M5" i="1" s="1"/>
  <c r="K43" i="1"/>
  <c r="L6" i="1" s="1"/>
  <c r="L43" i="1" l="1"/>
  <c r="M6" i="1" s="1"/>
  <c r="M42" i="1"/>
  <c r="M43" i="1" l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<sst xmlns="http://schemas.openxmlformats.org/spreadsheetml/2006/main" count="54" uniqueCount="45">
  <si>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</si>
  <si>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</si>
  <si>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</si>
  <si>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</si>
  <si>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</si>
  <si>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</si>
  <si>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</si>
  <si>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</si>
  <si>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</si>
  <si>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</si>
  <si>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</si>
  <si>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</si>
  <si>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</si>
  <si>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</si>
  <si>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</si>
  <si>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</si>
  <si>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</si>
  <si>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</si>
  <si>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</si>
  <si>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</si>
  <si>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</si>
  <si>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</si>
  <si>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</si>
  <si>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</si>
  <si>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</si>
  <si>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</si>
  <si>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</si>
  <si>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Вознаграждение, координация с советом МКД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</si>
  <si>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</si>
  <si>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</si>
  <si>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</si>
  <si>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</si>
  <si>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</si>
  <si>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</si>
  <si>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</si>
  <si>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</si>
  <si>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</si>
  <si>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</t>
  </si>
  <si>
    <t>Август 2023г</t>
  </si>
  <si>
    <t>Сентябрь 2023г</t>
  </si>
  <si>
    <t>Октябрь 2023г</t>
  </si>
  <si>
    <t>Ноябрь 2023г</t>
  </si>
  <si>
    <t>Декабрь 2023г.</t>
  </si>
  <si>
    <t>Всего:                       за  2023г</t>
  </si>
  <si>
    <t xml:space="preserve">                 ОТЧЕТ по дому Липового, 72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</si>
</sst>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29" zoomScale="75" workbookViewId="0">
      <selection activeCell="B29" sqref="B1:K1048576"/>
    </sheetView>
  </sheetViews>
  <sheetFormatPr defaultRowHeight="13.2" x14ac:dyDescent="0.25"/>
  <cols>
    <col min="1" max="1" width="58.6640625" customWidth="1"/>
    <col min="2" max="2" width="16.5546875" customWidth="1"/>
    <col min="3" max="3" width="14.5546875" customWidth="1"/>
    <col min="4" max="4" width="14" customWidth="1"/>
    <col min="5" max="5" width="14.109375" customWidth="1"/>
    <col min="6" max="6" width="13.88671875" customWidth="1"/>
    <col min="7" max="7" width="13.33203125" customWidth="1"/>
    <col min="8" max="8" width="13.5546875" customWidth="1"/>
    <col min="9" max="13" width="14.109375" customWidth="1"/>
    <col min="14" max="14" width="15.88671875" customWidth="1"/>
  </cols>
  <sheetData>
    <row r="1" spans="1:18" ht="20.25" customHeight="1" x14ac:dyDescent="0.35">
      <c r="A1" s="21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8">
        <v>-444549.48</v>
      </c>
      <c r="C5" s="8">
        <f t="shared" ref="C5:C6" si="0">B42</f>
        <v>-461282.97203999996</v>
      </c>
      <c r="D5" s="8">
        <f t="shared" ref="D5:D6" si="1">C42</f>
        <v>-485671.31347999995</v>
      </c>
      <c r="E5" s="8">
        <f t="shared" ref="E5:E6" si="2">D42</f>
        <v>-463125.91758999997</v>
      </c>
      <c r="F5" s="8">
        <f t="shared" ref="F5:F6" si="3">E42</f>
        <v>-455076.95127999998</v>
      </c>
      <c r="G5" s="8">
        <f t="shared" ref="G5:G6" si="4">F42</f>
        <v>-587471.61893999996</v>
      </c>
      <c r="H5" s="8">
        <f t="shared" ref="H5:H6" si="5">G42</f>
        <v>-586239.98731999996</v>
      </c>
      <c r="I5" s="8">
        <f t="shared" ref="I5:I6" si="6">H42</f>
        <v>-580884.23502999998</v>
      </c>
      <c r="J5" s="8">
        <f t="shared" ref="J5:J6" si="7">I42</f>
        <v>-572625.10888999992</v>
      </c>
      <c r="K5" s="8">
        <f t="shared" ref="K5:K6" si="8">J42</f>
        <v>-539598.52908999985</v>
      </c>
      <c r="L5" s="8">
        <f t="shared" ref="L5:L6" si="9">K42</f>
        <v>-551854.62187999988</v>
      </c>
      <c r="M5" s="8">
        <f t="shared" ref="M5:M6" si="10">L42</f>
        <v>-561918.8597899999</v>
      </c>
      <c r="N5" s="8">
        <f>B5</f>
        <v>-444549.48</v>
      </c>
    </row>
    <row r="6" spans="1:18" ht="21" customHeight="1" thickBot="1" x14ac:dyDescent="0.3">
      <c r="A6" s="7" t="s">
        <v>13</v>
      </c>
      <c r="B6" s="8">
        <v>-115778.7</v>
      </c>
      <c r="C6" s="8">
        <f t="shared" si="0"/>
        <v>-125583.71999999999</v>
      </c>
      <c r="D6" s="8">
        <f t="shared" si="1"/>
        <v>-163788.34999999998</v>
      </c>
      <c r="E6" s="8">
        <f t="shared" si="2"/>
        <v>-152217.44999999998</v>
      </c>
      <c r="F6" s="8">
        <f t="shared" si="3"/>
        <v>-161509.75999999998</v>
      </c>
      <c r="G6" s="8">
        <f t="shared" si="4"/>
        <v>-173137.40999999997</v>
      </c>
      <c r="H6" s="8">
        <f t="shared" si="5"/>
        <v>-163460.37999999998</v>
      </c>
      <c r="I6" s="8">
        <f t="shared" si="6"/>
        <v>-164772.53999999998</v>
      </c>
      <c r="J6" s="8">
        <f t="shared" si="7"/>
        <v>-164969.93999999997</v>
      </c>
      <c r="K6" s="8">
        <f t="shared" si="8"/>
        <v>-146815.46999999997</v>
      </c>
      <c r="L6" s="8">
        <f t="shared" si="9"/>
        <v>-167214.35999999993</v>
      </c>
      <c r="M6" s="8">
        <f t="shared" si="10"/>
        <v>-197426.46999999991</v>
      </c>
      <c r="N6" s="8">
        <f>B6</f>
        <v>-115778.7</v>
      </c>
    </row>
    <row r="7" spans="1:18" ht="20.25" customHeight="1" thickBot="1" x14ac:dyDescent="0.3">
      <c r="A7" s="9" t="s">
        <v>12</v>
      </c>
      <c r="B7" s="10">
        <f>SUM(B8:B15)</f>
        <v>70984.509999999995</v>
      </c>
      <c r="C7" s="10">
        <f t="shared" ref="C7:J7" si="11">SUM(C8:C15)</f>
        <v>93782.329999999987</v>
      </c>
      <c r="D7" s="10">
        <f t="shared" si="11"/>
        <v>83337.509999999995</v>
      </c>
      <c r="E7" s="10">
        <f t="shared" si="11"/>
        <v>86972.29</v>
      </c>
      <c r="F7" s="10">
        <f t="shared" si="11"/>
        <v>79232.599999999991</v>
      </c>
      <c r="G7" s="10">
        <f t="shared" si="11"/>
        <v>72418.14</v>
      </c>
      <c r="H7" s="10">
        <f t="shared" si="11"/>
        <v>80696.61</v>
      </c>
      <c r="I7" s="10">
        <f t="shared" si="11"/>
        <v>78541.66</v>
      </c>
      <c r="J7" s="10">
        <f t="shared" si="11"/>
        <v>72585.97</v>
      </c>
      <c r="K7" s="10">
        <f t="shared" ref="K7:M7" si="12">SUM(K8:K15)</f>
        <v>75779.599999999977</v>
      </c>
      <c r="L7" s="10">
        <f t="shared" si="12"/>
        <v>85013.51999999999</v>
      </c>
      <c r="M7" s="10">
        <f t="shared" si="12"/>
        <v>82349.100000000006</v>
      </c>
      <c r="N7" s="10">
        <f>SUM(B7:M7)</f>
        <v>961693.84</v>
      </c>
    </row>
    <row r="8" spans="1:18" ht="24.75" customHeight="1" thickBot="1" x14ac:dyDescent="0.3">
      <c r="A8" s="4" t="s">
        <v>29</v>
      </c>
      <c r="B8" s="11">
        <f t="shared" ref="B8:G8" si="13">51596.4+1486.82</f>
        <v>53083.22</v>
      </c>
      <c r="C8" s="11">
        <f t="shared" si="13"/>
        <v>53083.22</v>
      </c>
      <c r="D8" s="11">
        <f t="shared" si="13"/>
        <v>53083.22</v>
      </c>
      <c r="E8" s="11">
        <f t="shared" si="13"/>
        <v>53083.22</v>
      </c>
      <c r="F8" s="11">
        <f t="shared" si="13"/>
        <v>53083.22</v>
      </c>
      <c r="G8" s="11">
        <f t="shared" si="13"/>
        <v>53083.22</v>
      </c>
      <c r="H8" s="11">
        <f>51596.4+1486.82</f>
        <v>53083.22</v>
      </c>
      <c r="I8" s="11">
        <f>51596.4+1486.82</f>
        <v>53083.22</v>
      </c>
      <c r="J8" s="11">
        <f>51596.4+1486.82</f>
        <v>53083.22</v>
      </c>
      <c r="K8" s="11">
        <f>53122.27+1486.82</f>
        <v>54609.09</v>
      </c>
      <c r="L8" s="11">
        <f>53122.27+1486.82</f>
        <v>54609.09</v>
      </c>
      <c r="M8" s="11">
        <f>53112.7+1486.6</f>
        <v>54599.299999999996</v>
      </c>
      <c r="N8" s="11">
        <f t="shared" ref="N8:N24" si="14">SUM(B8:M8)</f>
        <v>641566.45999999985</v>
      </c>
    </row>
    <row r="9" spans="1:18" ht="24.75" customHeight="1" thickBot="1" x14ac:dyDescent="0.3">
      <c r="A9" s="4" t="s">
        <v>17</v>
      </c>
      <c r="B9" s="11">
        <f t="shared" ref="B9:G9" si="15">8591.34+4125.48</f>
        <v>12716.82</v>
      </c>
      <c r="C9" s="11">
        <f t="shared" si="15"/>
        <v>12716.82</v>
      </c>
      <c r="D9" s="11">
        <f t="shared" si="15"/>
        <v>12716.82</v>
      </c>
      <c r="E9" s="11">
        <f t="shared" si="15"/>
        <v>12716.82</v>
      </c>
      <c r="F9" s="11">
        <f t="shared" si="15"/>
        <v>12716.82</v>
      </c>
      <c r="G9" s="11">
        <f t="shared" si="15"/>
        <v>12716.82</v>
      </c>
      <c r="H9" s="11">
        <f>8591.34+4125.48</f>
        <v>12716.82</v>
      </c>
      <c r="I9" s="11">
        <f>8591.34+4125.48</f>
        <v>12716.82</v>
      </c>
      <c r="J9" s="11">
        <f>8591.34+4125.48</f>
        <v>12716.82</v>
      </c>
      <c r="K9" s="11">
        <f>4247.47+8845.39</f>
        <v>13092.86</v>
      </c>
      <c r="L9" s="11">
        <f>4247.47+8845.39</f>
        <v>13092.86</v>
      </c>
      <c r="M9" s="11">
        <f>4247.47+8845.39</f>
        <v>13092.86</v>
      </c>
      <c r="N9" s="11">
        <f t="shared" si="14"/>
        <v>153729.96000000002</v>
      </c>
    </row>
    <row r="10" spans="1:18" ht="24.75" customHeight="1" thickBot="1" x14ac:dyDescent="0.3">
      <c r="A10" s="4" t="s">
        <v>18</v>
      </c>
      <c r="B10" s="11">
        <v>0</v>
      </c>
      <c r="C10" s="11">
        <f>11223.35+1870.7+898.29</f>
        <v>13992.34</v>
      </c>
      <c r="D10" s="11">
        <f>8001.42+1330.27+638.78</f>
        <v>9970.4700000000012</v>
      </c>
      <c r="E10" s="11">
        <f>14037.41+2337.21+1122.31</f>
        <v>17496.93</v>
      </c>
      <c r="F10" s="11">
        <f>8590.28+1431.89+687.58</f>
        <v>10709.75</v>
      </c>
      <c r="G10" s="11">
        <f>3220.93+535.8+257.29</f>
        <v>4014.0199999999995</v>
      </c>
      <c r="H10" s="11">
        <f>3936.64+655.9+314.96</f>
        <v>4907.5</v>
      </c>
      <c r="I10" s="11">
        <f>2238.33+374.14+179.66</f>
        <v>2792.1299999999997</v>
      </c>
      <c r="J10" s="11">
        <f>3047.75+508.09+243.98</f>
        <v>3799.82</v>
      </c>
      <c r="K10" s="11">
        <f>4966.13+397.02+826.8</f>
        <v>6189.95</v>
      </c>
      <c r="L10" s="11">
        <f>7927.01+634.35+1321.03</f>
        <v>9882.3900000000012</v>
      </c>
      <c r="M10" s="11">
        <f>10745.62+858.37+1787.55</f>
        <v>13391.54</v>
      </c>
      <c r="N10" s="11">
        <f t="shared" si="14"/>
        <v>97146.84</v>
      </c>
    </row>
    <row r="11" spans="1:18" ht="24.75" customHeight="1" thickBot="1" x14ac:dyDescent="0.3">
      <c r="A11" s="4" t="s">
        <v>19</v>
      </c>
      <c r="B11" s="11">
        <f t="shared" ref="B11:G11" si="16">163.66+27.71+13.31</f>
        <v>204.68</v>
      </c>
      <c r="C11" s="11">
        <f t="shared" si="16"/>
        <v>204.68</v>
      </c>
      <c r="D11" s="11">
        <f t="shared" si="16"/>
        <v>204.68</v>
      </c>
      <c r="E11" s="11">
        <f t="shared" si="16"/>
        <v>204.68</v>
      </c>
      <c r="F11" s="11">
        <f t="shared" si="16"/>
        <v>204.68</v>
      </c>
      <c r="G11" s="11">
        <f t="shared" si="16"/>
        <v>204.68</v>
      </c>
      <c r="H11" s="11">
        <f>163.66+27.71+13.31</f>
        <v>204.68</v>
      </c>
      <c r="I11" s="11">
        <f>163.66+27.71+13.31</f>
        <v>204.68</v>
      </c>
      <c r="J11" s="11">
        <f>163.66+27.71+13.31</f>
        <v>204.68</v>
      </c>
      <c r="K11" s="11">
        <f>163.66+13.31+27.71</f>
        <v>204.68</v>
      </c>
      <c r="L11" s="11">
        <f>163.66+13.31+27.71</f>
        <v>204.68</v>
      </c>
      <c r="M11" s="11">
        <f>163.63+13.31+27.71</f>
        <v>204.65</v>
      </c>
      <c r="N11" s="11">
        <f t="shared" si="14"/>
        <v>2456.1300000000006</v>
      </c>
    </row>
    <row r="12" spans="1:18" ht="24.75" customHeight="1" thickBot="1" x14ac:dyDescent="0.3">
      <c r="A12" s="4" t="s">
        <v>20</v>
      </c>
      <c r="B12" s="11">
        <f>3146.42+521.95+250.63</f>
        <v>3919</v>
      </c>
      <c r="C12" s="11">
        <f>10208.47+1699.79+816.22</f>
        <v>12724.479999999998</v>
      </c>
      <c r="D12" s="11">
        <f>5057.19+840.66+403.68</f>
        <v>6301.53</v>
      </c>
      <c r="E12" s="11">
        <f>1931.26+323.33+155.26</f>
        <v>2409.8500000000004</v>
      </c>
      <c r="F12" s="11">
        <f>1170.18+194+93.16</f>
        <v>1457.3400000000001</v>
      </c>
      <c r="G12" s="11">
        <f>1071.97+180.14+86.5</f>
        <v>1338.6100000000001</v>
      </c>
      <c r="H12" s="11">
        <f>7000.67+1163.99+558.94</f>
        <v>8723.6</v>
      </c>
      <c r="I12" s="11">
        <f>6967.93+1159.37+556.72</f>
        <v>8684.02</v>
      </c>
      <c r="J12" s="11">
        <f>1378.79+230.95+110.9</f>
        <v>1720.64</v>
      </c>
      <c r="K12" s="11">
        <f>499.17+39.92+83.14</f>
        <v>622.23</v>
      </c>
      <c r="L12" s="11">
        <f>4946.73+394.8+822.18</f>
        <v>6163.71</v>
      </c>
      <c r="M12" s="11">
        <v>0</v>
      </c>
      <c r="N12" s="11">
        <f t="shared" si="14"/>
        <v>54065.009999999995</v>
      </c>
    </row>
    <row r="13" spans="1:18" ht="24.75" hidden="1" customHeight="1" thickBot="1" x14ac:dyDescent="0.3">
      <c r="A13" s="4" t="s">
        <v>27</v>
      </c>
      <c r="B13" s="11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>
        <f t="shared" si="14"/>
        <v>0</v>
      </c>
    </row>
    <row r="14" spans="1:18" ht="24.75" customHeight="1" thickBot="1" x14ac:dyDescent="0.3">
      <c r="A14" s="4" t="s">
        <v>28</v>
      </c>
      <c r="B14" s="11">
        <f t="shared" ref="B14:G14" si="17">315.58+50.81+24.4</f>
        <v>390.78999999999996</v>
      </c>
      <c r="C14" s="11">
        <f t="shared" si="17"/>
        <v>390.78999999999996</v>
      </c>
      <c r="D14" s="11">
        <f t="shared" si="17"/>
        <v>390.78999999999996</v>
      </c>
      <c r="E14" s="11">
        <f t="shared" si="17"/>
        <v>390.78999999999996</v>
      </c>
      <c r="F14" s="11">
        <f t="shared" si="17"/>
        <v>390.78999999999996</v>
      </c>
      <c r="G14" s="11">
        <f t="shared" si="17"/>
        <v>390.78999999999996</v>
      </c>
      <c r="H14" s="11">
        <f>315.58+50.81+24.4</f>
        <v>390.78999999999996</v>
      </c>
      <c r="I14" s="11">
        <f>315.58+50.81+24.4</f>
        <v>390.78999999999996</v>
      </c>
      <c r="J14" s="11">
        <f>315.58+50.81+24.4</f>
        <v>390.78999999999996</v>
      </c>
      <c r="K14" s="11">
        <f>315.58+24.4+50.81</f>
        <v>390.78999999999996</v>
      </c>
      <c r="L14" s="11">
        <f>315.58+24.4+50.81</f>
        <v>390.78999999999996</v>
      </c>
      <c r="M14" s="11">
        <f>315.54+24.4+50.81</f>
        <v>390.75</v>
      </c>
      <c r="N14" s="11">
        <f t="shared" si="14"/>
        <v>4689.4399999999996</v>
      </c>
    </row>
    <row r="15" spans="1:18" ht="24.75" customHeight="1" thickBot="1" x14ac:dyDescent="0.3">
      <c r="A15" s="4" t="s">
        <v>15</v>
      </c>
      <c r="B15" s="11">
        <v>670</v>
      </c>
      <c r="C15" s="11">
        <v>670</v>
      </c>
      <c r="D15" s="11">
        <v>670</v>
      </c>
      <c r="E15" s="11">
        <v>670</v>
      </c>
      <c r="F15" s="11">
        <v>670</v>
      </c>
      <c r="G15" s="11">
        <v>670</v>
      </c>
      <c r="H15" s="11">
        <v>670</v>
      </c>
      <c r="I15" s="11">
        <v>670</v>
      </c>
      <c r="J15" s="11">
        <v>670</v>
      </c>
      <c r="K15" s="11">
        <v>670</v>
      </c>
      <c r="L15" s="11">
        <v>670</v>
      </c>
      <c r="M15" s="11">
        <v>670</v>
      </c>
      <c r="N15" s="11">
        <f t="shared" si="14"/>
        <v>8040</v>
      </c>
    </row>
    <row r="16" spans="1:18" ht="20.25" customHeight="1" thickBot="1" x14ac:dyDescent="0.3">
      <c r="A16" s="12" t="s">
        <v>8</v>
      </c>
      <c r="B16" s="13">
        <f t="shared" ref="B16:M16" si="18">SUM(B17:B24)</f>
        <v>61179.490000000005</v>
      </c>
      <c r="C16" s="13">
        <f t="shared" si="18"/>
        <v>55577.7</v>
      </c>
      <c r="D16" s="13">
        <f t="shared" si="18"/>
        <v>94908.409999999989</v>
      </c>
      <c r="E16" s="13">
        <f t="shared" si="18"/>
        <v>77679.98</v>
      </c>
      <c r="F16" s="13">
        <f t="shared" si="18"/>
        <v>67604.95</v>
      </c>
      <c r="G16" s="13">
        <f t="shared" si="18"/>
        <v>82095.17</v>
      </c>
      <c r="H16" s="13">
        <f t="shared" si="18"/>
        <v>79384.45</v>
      </c>
      <c r="I16" s="13">
        <f t="shared" si="18"/>
        <v>78344.260000000009</v>
      </c>
      <c r="J16" s="13">
        <f t="shared" si="18"/>
        <v>90740.440000000017</v>
      </c>
      <c r="K16" s="13">
        <f t="shared" si="18"/>
        <v>55380.710000000006</v>
      </c>
      <c r="L16" s="13">
        <f t="shared" si="18"/>
        <v>54801.409999999989</v>
      </c>
      <c r="M16" s="13">
        <f t="shared" si="18"/>
        <v>99846.800000000017</v>
      </c>
      <c r="N16" s="13">
        <f>SUM(B16:M16)</f>
        <v>897543.77</v>
      </c>
    </row>
    <row r="17" spans="1:15" ht="24" customHeight="1" thickBot="1" x14ac:dyDescent="0.3">
      <c r="A17" s="4" t="s">
        <v>30</v>
      </c>
      <c r="B17" s="11">
        <f>48475.97+1110.26</f>
        <v>49586.23</v>
      </c>
      <c r="C17" s="11">
        <f>48598.46+1098.15</f>
        <v>49696.61</v>
      </c>
      <c r="D17" s="11">
        <f>50087.08+1130.7</f>
        <v>51217.78</v>
      </c>
      <c r="E17" s="11">
        <f>49903.14+1126.31</f>
        <v>51029.45</v>
      </c>
      <c r="F17" s="11">
        <f>50135.63+1177.58</f>
        <v>51313.21</v>
      </c>
      <c r="G17" s="11">
        <f>56707.98+1629.35</f>
        <v>58337.33</v>
      </c>
      <c r="H17" s="11">
        <f>60659.83+1307.47</f>
        <v>61967.3</v>
      </c>
      <c r="I17" s="11">
        <f>46885.87+1083.05</f>
        <v>47968.920000000006</v>
      </c>
      <c r="J17" s="11">
        <f>55380.61+1318.86</f>
        <v>56699.47</v>
      </c>
      <c r="K17" s="11">
        <f>49084.14+1135.12</f>
        <v>50219.26</v>
      </c>
      <c r="L17" s="11">
        <f>47819.35+1081.34+105.6</f>
        <v>49006.289999999994</v>
      </c>
      <c r="M17" s="11">
        <f>59997.31+4490.48</f>
        <v>64487.789999999994</v>
      </c>
      <c r="N17" s="11">
        <f t="shared" si="14"/>
        <v>641529.64</v>
      </c>
    </row>
    <row r="18" spans="1:15" ht="26.25" customHeight="1" thickBot="1" x14ac:dyDescent="0.3">
      <c r="A18" s="4" t="s">
        <v>17</v>
      </c>
      <c r="B18" s="11">
        <f>8591.34</f>
        <v>8591.34</v>
      </c>
      <c r="C18" s="11">
        <v>0</v>
      </c>
      <c r="D18" s="11">
        <f>8591.34*2</f>
        <v>17182.68</v>
      </c>
      <c r="E18" s="11">
        <v>8591.34</v>
      </c>
      <c r="F18" s="11">
        <v>0</v>
      </c>
      <c r="G18" s="11">
        <v>8591.34</v>
      </c>
      <c r="H18" s="11">
        <v>8591.34</v>
      </c>
      <c r="I18" s="11">
        <f>8591.34*2</f>
        <v>17182.68</v>
      </c>
      <c r="J18" s="11">
        <f>8591.34+12376.44</f>
        <v>20967.78</v>
      </c>
      <c r="K18" s="11">
        <v>0</v>
      </c>
      <c r="L18" s="11">
        <v>0</v>
      </c>
      <c r="M18" s="11">
        <v>17690.78</v>
      </c>
      <c r="N18" s="11">
        <f t="shared" si="14"/>
        <v>107389.28</v>
      </c>
    </row>
    <row r="19" spans="1:15" ht="26.25" customHeight="1" thickBot="1" x14ac:dyDescent="0.3">
      <c r="A19" s="4" t="s">
        <v>18</v>
      </c>
      <c r="B19" s="11">
        <v>172.59</v>
      </c>
      <c r="C19" s="11">
        <v>0</v>
      </c>
      <c r="D19" s="11">
        <f>9932.45+1870.7</f>
        <v>11803.150000000001</v>
      </c>
      <c r="E19" s="11">
        <f>7589.91+1330.27</f>
        <v>8920.18</v>
      </c>
      <c r="F19" s="11">
        <v>12936.42</v>
      </c>
      <c r="G19" s="11">
        <f>9208.23+2337.21</f>
        <v>11545.439999999999</v>
      </c>
      <c r="H19" s="11">
        <f>4507.58+1431.89</f>
        <v>5939.47</v>
      </c>
      <c r="I19" s="11">
        <f>3596.8+535.8+655.9</f>
        <v>4788.5</v>
      </c>
      <c r="J19" s="11">
        <f>2693.79+374.14+102.03</f>
        <v>3169.96</v>
      </c>
      <c r="K19" s="11">
        <v>2883.34</v>
      </c>
      <c r="L19" s="11">
        <v>4411.6400000000003</v>
      </c>
      <c r="M19" s="11">
        <f>8439.85+826.8+1321.03</f>
        <v>10587.68</v>
      </c>
      <c r="N19" s="11">
        <f t="shared" si="14"/>
        <v>77158.37</v>
      </c>
    </row>
    <row r="20" spans="1:15" ht="26.25" customHeight="1" thickBot="1" x14ac:dyDescent="0.3">
      <c r="A20" s="4" t="s">
        <v>19</v>
      </c>
      <c r="B20" s="11">
        <f>112.92+18.48</f>
        <v>131.4</v>
      </c>
      <c r="C20" s="11">
        <v>150.75</v>
      </c>
      <c r="D20" s="11">
        <f>157.95+55.42</f>
        <v>213.37</v>
      </c>
      <c r="E20" s="11">
        <f>157.52+27.71</f>
        <v>185.23000000000002</v>
      </c>
      <c r="F20" s="11">
        <v>158.29</v>
      </c>
      <c r="G20" s="11">
        <f>180.88+27.71</f>
        <v>208.59</v>
      </c>
      <c r="H20" s="11">
        <f>191.47+27.71</f>
        <v>219.18</v>
      </c>
      <c r="I20" s="11">
        <f>148.65+55.42</f>
        <v>204.07</v>
      </c>
      <c r="J20" s="11">
        <f>177.52+27.71+28.83</f>
        <v>234.06</v>
      </c>
      <c r="K20" s="11">
        <v>155.69</v>
      </c>
      <c r="L20" s="11">
        <v>147.49</v>
      </c>
      <c r="M20" s="11">
        <f>185.18+55.42</f>
        <v>240.60000000000002</v>
      </c>
      <c r="N20" s="11">
        <f t="shared" si="14"/>
        <v>2248.7199999999998</v>
      </c>
    </row>
    <row r="21" spans="1:15" ht="26.25" customHeight="1" thickBot="1" x14ac:dyDescent="0.3">
      <c r="A21" s="4" t="s">
        <v>20</v>
      </c>
      <c r="B21" s="11">
        <f>1665.48+291</f>
        <v>1956.48</v>
      </c>
      <c r="C21" s="11">
        <v>2834.71</v>
      </c>
      <c r="D21" s="11">
        <f>9263.05+521.95+1699.79</f>
        <v>11484.79</v>
      </c>
      <c r="E21" s="11">
        <f>4958.21+840.66</f>
        <v>5798.87</v>
      </c>
      <c r="F21" s="11">
        <v>2210.69</v>
      </c>
      <c r="G21" s="11">
        <f>1693.81+323.33</f>
        <v>2017.1399999999999</v>
      </c>
      <c r="H21" s="11">
        <f>1657.8+194</f>
        <v>1851.8</v>
      </c>
      <c r="I21" s="11">
        <f>6067.65+180.14+1163.99</f>
        <v>7411.78</v>
      </c>
      <c r="J21" s="11">
        <f>7235.6+1159.37+286.12+139.73</f>
        <v>8820.8200000000015</v>
      </c>
      <c r="K21" s="11">
        <v>1422.21</v>
      </c>
      <c r="L21" s="11">
        <v>551.59</v>
      </c>
      <c r="M21" s="11">
        <f>5075.89+83.14+822.18</f>
        <v>5981.2100000000009</v>
      </c>
      <c r="N21" s="11">
        <f t="shared" si="14"/>
        <v>52342.09</v>
      </c>
    </row>
    <row r="22" spans="1:15" ht="26.25" hidden="1" customHeight="1" thickBot="1" x14ac:dyDescent="0.3">
      <c r="A22" s="4" t="s">
        <v>27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>
        <f t="shared" si="14"/>
        <v>0</v>
      </c>
    </row>
    <row r="23" spans="1:15" ht="26.25" customHeight="1" thickBot="1" x14ac:dyDescent="0.3">
      <c r="A23" s="4" t="s">
        <v>28</v>
      </c>
      <c r="B23" s="11">
        <f>290.64+50.81</f>
        <v>341.45</v>
      </c>
      <c r="C23" s="11">
        <v>295.63</v>
      </c>
      <c r="D23" s="11">
        <f>305.02+101.62</f>
        <v>406.64</v>
      </c>
      <c r="E23" s="11">
        <f>304.1+50.81</f>
        <v>354.91</v>
      </c>
      <c r="F23" s="11">
        <v>306.33999999999997</v>
      </c>
      <c r="G23" s="11">
        <f>344.52+50.81</f>
        <v>395.33</v>
      </c>
      <c r="H23" s="11">
        <f>364.55+50.81</f>
        <v>415.36</v>
      </c>
      <c r="I23" s="11">
        <f>286.69+101.62</f>
        <v>388.31</v>
      </c>
      <c r="J23" s="11">
        <f>337.66+50.81+59.88</f>
        <v>448.35</v>
      </c>
      <c r="K23" s="11">
        <v>300.20999999999998</v>
      </c>
      <c r="L23" s="11">
        <v>284.39999999999998</v>
      </c>
      <c r="M23" s="11">
        <f>357.12+101.62</f>
        <v>458.74</v>
      </c>
      <c r="N23" s="11">
        <f t="shared" si="14"/>
        <v>4395.67</v>
      </c>
    </row>
    <row r="24" spans="1:15" ht="26.25" customHeight="1" thickBot="1" x14ac:dyDescent="0.3">
      <c r="A24" s="4" t="s">
        <v>15</v>
      </c>
      <c r="B24" s="14">
        <v>400</v>
      </c>
      <c r="C24" s="14">
        <v>2600</v>
      </c>
      <c r="D24" s="14">
        <v>2600</v>
      </c>
      <c r="E24" s="14">
        <v>2800</v>
      </c>
      <c r="F24" s="14">
        <v>680</v>
      </c>
      <c r="G24" s="14">
        <v>1000</v>
      </c>
      <c r="H24" s="14">
        <v>400</v>
      </c>
      <c r="I24" s="14">
        <v>400</v>
      </c>
      <c r="J24" s="14">
        <v>400</v>
      </c>
      <c r="K24" s="14">
        <v>400</v>
      </c>
      <c r="L24" s="14">
        <v>400</v>
      </c>
      <c r="M24" s="14">
        <v>400</v>
      </c>
      <c r="N24" s="11">
        <f t="shared" si="14"/>
        <v>12480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>3457.7*0.6</f>
        <v>2074.62</v>
      </c>
      <c r="C26" s="11">
        <f t="shared" ref="C26:M26" si="19">3457.7*0.6</f>
        <v>2074.62</v>
      </c>
      <c r="D26" s="11">
        <f t="shared" si="19"/>
        <v>2074.62</v>
      </c>
      <c r="E26" s="11">
        <f t="shared" si="19"/>
        <v>2074.62</v>
      </c>
      <c r="F26" s="11">
        <f t="shared" si="19"/>
        <v>2074.62</v>
      </c>
      <c r="G26" s="11">
        <f t="shared" si="19"/>
        <v>2074.62</v>
      </c>
      <c r="H26" s="11">
        <f t="shared" si="19"/>
        <v>2074.62</v>
      </c>
      <c r="I26" s="11">
        <f t="shared" si="19"/>
        <v>2074.62</v>
      </c>
      <c r="J26" s="11">
        <f t="shared" si="19"/>
        <v>2074.62</v>
      </c>
      <c r="K26" s="11">
        <f t="shared" si="19"/>
        <v>2074.62</v>
      </c>
      <c r="L26" s="11">
        <f t="shared" si="19"/>
        <v>2074.62</v>
      </c>
      <c r="M26" s="11">
        <f t="shared" si="19"/>
        <v>2074.62</v>
      </c>
      <c r="N26" s="11">
        <f t="shared" ref="N26:N39" si="20">SUM(B26:M26)</f>
        <v>24895.439999999991</v>
      </c>
    </row>
    <row r="27" spans="1:15" ht="22.5" customHeight="1" thickBot="1" x14ac:dyDescent="0.3">
      <c r="A27" s="4" t="s">
        <v>2</v>
      </c>
      <c r="B27" s="11">
        <f t="shared" ref="B27:M27" si="21">3457.7*0.17</f>
        <v>587.80899999999997</v>
      </c>
      <c r="C27" s="11">
        <f t="shared" si="21"/>
        <v>587.80899999999997</v>
      </c>
      <c r="D27" s="11">
        <f t="shared" si="21"/>
        <v>587.80899999999997</v>
      </c>
      <c r="E27" s="11">
        <f t="shared" si="21"/>
        <v>587.80899999999997</v>
      </c>
      <c r="F27" s="11">
        <f t="shared" si="21"/>
        <v>587.80899999999997</v>
      </c>
      <c r="G27" s="11">
        <f t="shared" si="21"/>
        <v>587.80899999999997</v>
      </c>
      <c r="H27" s="11">
        <f t="shared" si="21"/>
        <v>587.80899999999997</v>
      </c>
      <c r="I27" s="11">
        <f t="shared" si="21"/>
        <v>587.80899999999997</v>
      </c>
      <c r="J27" s="11">
        <f t="shared" si="21"/>
        <v>587.80899999999997</v>
      </c>
      <c r="K27" s="11">
        <f t="shared" si="21"/>
        <v>587.80899999999997</v>
      </c>
      <c r="L27" s="11">
        <f t="shared" si="21"/>
        <v>587.80899999999997</v>
      </c>
      <c r="M27" s="11">
        <f t="shared" si="21"/>
        <v>587.80899999999997</v>
      </c>
      <c r="N27" s="11">
        <f t="shared" si="20"/>
        <v>7053.7080000000014</v>
      </c>
    </row>
    <row r="28" spans="1:15" ht="21" customHeight="1" thickBot="1" x14ac:dyDescent="0.3">
      <c r="A28" s="4" t="s">
        <v>3</v>
      </c>
      <c r="B28" s="11">
        <f>56708.88*2.3%</f>
        <v>1304.3042399999999</v>
      </c>
      <c r="C28" s="11">
        <f>74994.28*2.3%</f>
        <v>1724.86844</v>
      </c>
      <c r="D28" s="11">
        <f>66621.07*2.3%</f>
        <v>1532.2846100000002</v>
      </c>
      <c r="E28" s="11">
        <f>69531.13*2.3%</f>
        <v>1599.2159900000001</v>
      </c>
      <c r="F28" s="11">
        <f>63322.92*2.3%</f>
        <v>1456.42716</v>
      </c>
      <c r="G28" s="11">
        <f>57855.36*2.3%</f>
        <v>1330.67328</v>
      </c>
      <c r="H28" s="11">
        <f>64499.77*2.3%</f>
        <v>1483.4947099999999</v>
      </c>
      <c r="I28" s="11">
        <f>62768.72*2.3%</f>
        <v>1443.68056</v>
      </c>
      <c r="J28" s="11">
        <f>57989*2.3%</f>
        <v>1333.7470000000001</v>
      </c>
      <c r="K28" s="11">
        <f>60553.63*2.3%</f>
        <v>1392.7334899999998</v>
      </c>
      <c r="L28" s="11">
        <f>67962.07*2.3%</f>
        <v>1563.1276100000002</v>
      </c>
      <c r="M28" s="11">
        <f>65824.09*2.3%</f>
        <v>1513.95407</v>
      </c>
      <c r="N28" s="11">
        <f t="shared" si="20"/>
        <v>17678.511160000002</v>
      </c>
    </row>
    <row r="29" spans="1:15" ht="23.25" customHeight="1" thickBot="1" x14ac:dyDescent="0.3">
      <c r="A29" s="4" t="s">
        <v>4</v>
      </c>
      <c r="B29" s="11">
        <f>51827.86*3%</f>
        <v>1554.8358000000001</v>
      </c>
      <c r="C29" s="11">
        <f>52977.7*3%</f>
        <v>1589.3309999999999</v>
      </c>
      <c r="D29" s="11">
        <f>70876.25*3%</f>
        <v>2126.2874999999999</v>
      </c>
      <c r="E29" s="11">
        <f>64039.19*3%</f>
        <v>1921.1757</v>
      </c>
      <c r="F29" s="11">
        <f>66924.95*3%</f>
        <v>2007.7484999999999</v>
      </c>
      <c r="G29" s="11">
        <f>69764.77*3%</f>
        <v>2092.9431</v>
      </c>
      <c r="H29" s="11">
        <f>68688.7*3%</f>
        <v>2060.6610000000001</v>
      </c>
      <c r="I29" s="11">
        <f>58068.71*3%</f>
        <v>1742.0612999999998</v>
      </c>
      <c r="J29" s="11">
        <f>67144.04*3%</f>
        <v>2014.3211999999996</v>
      </c>
      <c r="K29" s="11">
        <f>54980.71*3%</f>
        <v>1649.4213</v>
      </c>
      <c r="L29" s="11">
        <f>54401.41*3%</f>
        <v>1632.0423000000001</v>
      </c>
      <c r="M29" s="11">
        <f>78545.83*3%</f>
        <v>2356.3748999999998</v>
      </c>
      <c r="N29" s="11">
        <f t="shared" si="20"/>
        <v>22747.203599999997</v>
      </c>
    </row>
    <row r="30" spans="1:15" ht="23.25" customHeight="1" thickBot="1" x14ac:dyDescent="0.3">
      <c r="A30" s="4" t="s">
        <v>9</v>
      </c>
      <c r="B30" s="20">
        <f t="shared" ref="B30:M30" si="22">3457.7*9.7</f>
        <v>33539.689999999995</v>
      </c>
      <c r="C30" s="20">
        <f t="shared" si="22"/>
        <v>33539.689999999995</v>
      </c>
      <c r="D30" s="20">
        <f t="shared" si="22"/>
        <v>33539.689999999995</v>
      </c>
      <c r="E30" s="20">
        <f t="shared" si="22"/>
        <v>33539.689999999995</v>
      </c>
      <c r="F30" s="20">
        <f t="shared" si="22"/>
        <v>33539.689999999995</v>
      </c>
      <c r="G30" s="20">
        <f t="shared" si="22"/>
        <v>33539.689999999995</v>
      </c>
      <c r="H30" s="20">
        <f t="shared" si="22"/>
        <v>33539.689999999995</v>
      </c>
      <c r="I30" s="20">
        <f t="shared" si="22"/>
        <v>33539.689999999995</v>
      </c>
      <c r="J30" s="20">
        <f t="shared" si="22"/>
        <v>33539.689999999995</v>
      </c>
      <c r="K30" s="20">
        <f t="shared" si="22"/>
        <v>33539.689999999995</v>
      </c>
      <c r="L30" s="20">
        <f t="shared" si="22"/>
        <v>33539.689999999995</v>
      </c>
      <c r="M30" s="20">
        <f t="shared" si="22"/>
        <v>33539.689999999995</v>
      </c>
      <c r="N30" s="11">
        <f t="shared" si="20"/>
        <v>402476.27999999997</v>
      </c>
    </row>
    <row r="31" spans="1:15" ht="26.25" customHeight="1" thickBot="1" x14ac:dyDescent="0.3">
      <c r="A31" s="4" t="s">
        <v>21</v>
      </c>
      <c r="B31" s="11">
        <f>12376.56+1613.09</f>
        <v>13989.65</v>
      </c>
      <c r="C31" s="11">
        <f>8847.79+1125.67</f>
        <v>9973.4600000000009</v>
      </c>
      <c r="D31" s="11">
        <f>15522.59+1974.61</f>
        <v>17497.2</v>
      </c>
      <c r="E31" s="11">
        <f>9499.15+1208.49</f>
        <v>10707.64</v>
      </c>
      <c r="F31" s="11">
        <f>3561.63+453.13</f>
        <v>4014.76</v>
      </c>
      <c r="G31" s="11">
        <f>4353.07+553.77</f>
        <v>4906.84</v>
      </c>
      <c r="H31" s="11">
        <f>2475.13+314.87</f>
        <v>2790</v>
      </c>
      <c r="I31" s="11">
        <f>3370.26+428.74</f>
        <v>3799</v>
      </c>
      <c r="J31" s="11">
        <f>5491.52+698.58</f>
        <v>6190.1</v>
      </c>
      <c r="K31" s="11">
        <f>8765.65+1115.09</f>
        <v>9880.74</v>
      </c>
      <c r="L31" s="11">
        <f>11882.82+1511.75</f>
        <v>13394.57</v>
      </c>
      <c r="M31" s="11">
        <f>9673.2+1230.68</f>
        <v>10903.880000000001</v>
      </c>
      <c r="N31" s="11">
        <f t="shared" si="20"/>
        <v>108047.84000000003</v>
      </c>
    </row>
    <row r="32" spans="1:15" ht="26.25" customHeight="1" thickBot="1" x14ac:dyDescent="0.3">
      <c r="A32" s="4" t="s">
        <v>22</v>
      </c>
      <c r="B32" s="11">
        <v>305.89</v>
      </c>
      <c r="C32" s="11">
        <v>305.89</v>
      </c>
      <c r="D32" s="11">
        <v>305.89</v>
      </c>
      <c r="E32" s="11">
        <v>305.89</v>
      </c>
      <c r="F32" s="11">
        <v>305.89</v>
      </c>
      <c r="G32" s="11">
        <v>305.89</v>
      </c>
      <c r="H32" s="11">
        <v>305.89</v>
      </c>
      <c r="I32" s="11">
        <v>305.89</v>
      </c>
      <c r="J32" s="11">
        <v>305.89</v>
      </c>
      <c r="K32" s="11">
        <v>305.89</v>
      </c>
      <c r="L32" s="11">
        <v>305.89</v>
      </c>
      <c r="M32" s="11">
        <v>305.89</v>
      </c>
      <c r="N32" s="11">
        <f t="shared" si="20"/>
        <v>3670.6799999999989</v>
      </c>
    </row>
    <row r="33" spans="1:14" ht="26.25" customHeight="1" thickBot="1" x14ac:dyDescent="0.3">
      <c r="A33" s="4" t="s">
        <v>23</v>
      </c>
      <c r="B33" s="11">
        <v>12724.5</v>
      </c>
      <c r="C33" s="11">
        <v>6303.59</v>
      </c>
      <c r="D33" s="11">
        <v>2407.1999999999998</v>
      </c>
      <c r="E33" s="11">
        <v>1458.59</v>
      </c>
      <c r="F33" s="11">
        <v>1336.21</v>
      </c>
      <c r="G33" s="11">
        <v>8726.09</v>
      </c>
      <c r="H33" s="11">
        <v>8685.2999999999993</v>
      </c>
      <c r="I33" s="11">
        <v>1718.7</v>
      </c>
      <c r="J33" s="11">
        <v>622.20000000000005</v>
      </c>
      <c r="K33" s="11">
        <v>6165.9</v>
      </c>
      <c r="L33" s="11">
        <v>0</v>
      </c>
      <c r="M33" s="11">
        <v>3906.6</v>
      </c>
      <c r="N33" s="11">
        <f t="shared" si="20"/>
        <v>54054.87999999999</v>
      </c>
    </row>
    <row r="34" spans="1:14" ht="26.25" customHeight="1" thickBot="1" x14ac:dyDescent="0.3">
      <c r="A34" s="4" t="s">
        <v>28</v>
      </c>
      <c r="B34" s="11">
        <v>393.5</v>
      </c>
      <c r="C34" s="11">
        <v>393.5</v>
      </c>
      <c r="D34" s="11">
        <v>393.5</v>
      </c>
      <c r="E34" s="11">
        <v>393.5</v>
      </c>
      <c r="F34" s="11">
        <v>393.5</v>
      </c>
      <c r="G34" s="11">
        <v>393.5</v>
      </c>
      <c r="H34" s="11">
        <v>393.5</v>
      </c>
      <c r="I34" s="11">
        <v>393.5</v>
      </c>
      <c r="J34" s="11">
        <v>393.5</v>
      </c>
      <c r="K34" s="11">
        <v>393.5</v>
      </c>
      <c r="L34" s="11">
        <v>393.5</v>
      </c>
      <c r="M34" s="11">
        <v>393.5</v>
      </c>
      <c r="N34" s="11">
        <f t="shared" si="20"/>
        <v>4722</v>
      </c>
    </row>
    <row r="35" spans="1:14" ht="22.5" customHeight="1" thickBot="1" x14ac:dyDescent="0.3">
      <c r="A35" s="4" t="s">
        <v>6</v>
      </c>
      <c r="B35" s="11">
        <f t="shared" ref="B35:J35" si="23">3457.7*2.79</f>
        <v>9646.9830000000002</v>
      </c>
      <c r="C35" s="11">
        <f t="shared" si="23"/>
        <v>9646.9830000000002</v>
      </c>
      <c r="D35" s="11">
        <f t="shared" si="23"/>
        <v>9646.9830000000002</v>
      </c>
      <c r="E35" s="11">
        <f t="shared" si="23"/>
        <v>9646.9830000000002</v>
      </c>
      <c r="F35" s="11">
        <f t="shared" si="23"/>
        <v>9646.9830000000002</v>
      </c>
      <c r="G35" s="11">
        <f t="shared" si="23"/>
        <v>9646.9830000000002</v>
      </c>
      <c r="H35" s="11">
        <f t="shared" si="23"/>
        <v>9646.9830000000002</v>
      </c>
      <c r="I35" s="11">
        <f t="shared" si="23"/>
        <v>9646.9830000000002</v>
      </c>
      <c r="J35" s="11">
        <f t="shared" si="23"/>
        <v>9646.9830000000002</v>
      </c>
      <c r="K35" s="11">
        <f>3457.7*2.87</f>
        <v>9923.5990000000002</v>
      </c>
      <c r="L35" s="11">
        <f t="shared" ref="L35:M35" si="24">3457.7*2.87</f>
        <v>9923.5990000000002</v>
      </c>
      <c r="M35" s="11">
        <f t="shared" si="24"/>
        <v>9923.5990000000002</v>
      </c>
      <c r="N35" s="11">
        <f t="shared" si="20"/>
        <v>116593.64400000001</v>
      </c>
    </row>
    <row r="36" spans="1:14" ht="21.75" hidden="1" customHeight="1" thickBot="1" x14ac:dyDescent="0.3">
      <c r="A36" s="4" t="s">
        <v>27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>
        <f t="shared" si="20"/>
        <v>0</v>
      </c>
    </row>
    <row r="37" spans="1:14" ht="24.75" customHeight="1" thickBot="1" x14ac:dyDescent="0.3">
      <c r="A37" s="4" t="s">
        <v>26</v>
      </c>
      <c r="B37" s="11">
        <v>900</v>
      </c>
      <c r="C37" s="11">
        <v>900</v>
      </c>
      <c r="D37" s="11">
        <v>900</v>
      </c>
      <c r="E37" s="11">
        <v>900</v>
      </c>
      <c r="F37" s="11">
        <v>900</v>
      </c>
      <c r="G37" s="11">
        <v>900</v>
      </c>
      <c r="H37" s="11">
        <v>900</v>
      </c>
      <c r="I37" s="11">
        <v>900</v>
      </c>
      <c r="J37" s="11">
        <v>900</v>
      </c>
      <c r="K37" s="11">
        <v>900</v>
      </c>
      <c r="L37" s="11">
        <v>900</v>
      </c>
      <c r="M37" s="11">
        <v>900</v>
      </c>
      <c r="N37" s="11">
        <f t="shared" si="20"/>
        <v>10800</v>
      </c>
    </row>
    <row r="38" spans="1:14" ht="24.75" customHeight="1" thickBot="1" x14ac:dyDescent="0.3">
      <c r="A38" s="4" t="s">
        <v>14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11560.75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 t="shared" si="20"/>
        <v>11560.75</v>
      </c>
    </row>
    <row r="39" spans="1:14" ht="24" customHeight="1" thickBot="1" x14ac:dyDescent="0.3">
      <c r="A39" s="4" t="s">
        <v>10</v>
      </c>
      <c r="B39" s="11">
        <f>891.2</f>
        <v>891.2</v>
      </c>
      <c r="C39" s="11">
        <f>12926.3</f>
        <v>12926.3</v>
      </c>
      <c r="D39" s="11">
        <f>1351.55</f>
        <v>1351.55</v>
      </c>
      <c r="E39" s="11">
        <f>6390.9+105</f>
        <v>6495.9</v>
      </c>
      <c r="F39" s="11">
        <f>66392.39+460+39924.6+10235.3+2387.39+2933.5+3112+1227+7936.8+9127</f>
        <v>143735.97999999998</v>
      </c>
      <c r="G39" s="11">
        <f>3151+831.8+12375.7</f>
        <v>16358.5</v>
      </c>
      <c r="H39" s="11">
        <v>0</v>
      </c>
      <c r="I39" s="11">
        <f>13933.2</f>
        <v>13933.2</v>
      </c>
      <c r="J39" s="11">
        <f>105</f>
        <v>105</v>
      </c>
      <c r="K39" s="11">
        <f>822.9</f>
        <v>822.9</v>
      </c>
      <c r="L39" s="11">
        <f>550.8</f>
        <v>550.79999999999995</v>
      </c>
      <c r="M39" s="11">
        <f>105+2590.8</f>
        <v>2695.8</v>
      </c>
      <c r="N39" s="11">
        <f t="shared" si="20"/>
        <v>199867.12999999998</v>
      </c>
    </row>
    <row r="40" spans="1:14" ht="25.2" customHeight="1" thickBot="1" x14ac:dyDescent="0.3">
      <c r="A40" s="9" t="s">
        <v>24</v>
      </c>
      <c r="B40" s="10">
        <f>SUM(B26:B39)</f>
        <v>77912.982039999988</v>
      </c>
      <c r="C40" s="10">
        <f>SUM(C26:C39)</f>
        <v>79966.041439999986</v>
      </c>
      <c r="D40" s="10">
        <f t="shared" ref="D40:M40" si="25">SUM(D26:D39)</f>
        <v>72363.014110000004</v>
      </c>
      <c r="E40" s="10">
        <f t="shared" si="25"/>
        <v>69631.013689999992</v>
      </c>
      <c r="F40" s="10">
        <f t="shared" si="25"/>
        <v>199999.61765999999</v>
      </c>
      <c r="G40" s="10">
        <f t="shared" si="25"/>
        <v>80863.538379999984</v>
      </c>
      <c r="H40" s="10">
        <f t="shared" si="25"/>
        <v>74028.697710000008</v>
      </c>
      <c r="I40" s="10">
        <f t="shared" si="25"/>
        <v>70085.133859999987</v>
      </c>
      <c r="J40" s="10">
        <f t="shared" si="25"/>
        <v>57713.860199999988</v>
      </c>
      <c r="K40" s="10">
        <f t="shared" si="25"/>
        <v>67636.802789999987</v>
      </c>
      <c r="L40" s="10">
        <f t="shared" si="25"/>
        <v>64865.64791</v>
      </c>
      <c r="M40" s="10">
        <f t="shared" si="25"/>
        <v>69101.716969999994</v>
      </c>
      <c r="N40" s="10">
        <f>SUM(B40:M40)</f>
        <v>984168.06675999984</v>
      </c>
    </row>
    <row r="41" spans="1:14" ht="24" customHeight="1" thickBot="1" x14ac:dyDescent="0.3">
      <c r="A41" s="4" t="s">
        <v>5</v>
      </c>
      <c r="B41" s="18">
        <f t="shared" ref="B41:N41" si="26">B16-B40</f>
        <v>-16733.492039999983</v>
      </c>
      <c r="C41" s="18">
        <f t="shared" si="26"/>
        <v>-24388.341439999989</v>
      </c>
      <c r="D41" s="18">
        <f t="shared" si="26"/>
        <v>22545.395889999985</v>
      </c>
      <c r="E41" s="18">
        <f t="shared" si="26"/>
        <v>8048.9663100000034</v>
      </c>
      <c r="F41" s="18">
        <f t="shared" si="26"/>
        <v>-132394.66765999998</v>
      </c>
      <c r="G41" s="18">
        <f t="shared" si="26"/>
        <v>1231.6316200000147</v>
      </c>
      <c r="H41" s="18">
        <f t="shared" si="26"/>
        <v>5355.7522899999894</v>
      </c>
      <c r="I41" s="18">
        <f t="shared" si="26"/>
        <v>8259.1261400000221</v>
      </c>
      <c r="J41" s="18">
        <f t="shared" si="26"/>
        <v>33026.579800000029</v>
      </c>
      <c r="K41" s="18">
        <f t="shared" si="26"/>
        <v>-12256.092789999981</v>
      </c>
      <c r="L41" s="18">
        <f t="shared" si="26"/>
        <v>-10064.237910000011</v>
      </c>
      <c r="M41" s="18">
        <f t="shared" si="26"/>
        <v>30745.083030000023</v>
      </c>
      <c r="N41" s="18">
        <f t="shared" si="26"/>
        <v>-86624.296759999823</v>
      </c>
    </row>
    <row r="42" spans="1:14" ht="24.6" customHeight="1" thickBot="1" x14ac:dyDescent="0.3">
      <c r="A42" s="4" t="s">
        <v>7</v>
      </c>
      <c r="B42" s="14">
        <f t="shared" ref="B42:N42" si="27">B5+B41</f>
        <v>-461282.97203999996</v>
      </c>
      <c r="C42" s="14">
        <f t="shared" si="27"/>
        <v>-485671.31347999995</v>
      </c>
      <c r="D42" s="14">
        <f t="shared" si="27"/>
        <v>-463125.91758999997</v>
      </c>
      <c r="E42" s="14">
        <f t="shared" si="27"/>
        <v>-455076.95127999998</v>
      </c>
      <c r="F42" s="14">
        <f t="shared" si="27"/>
        <v>-587471.61893999996</v>
      </c>
      <c r="G42" s="14">
        <f t="shared" si="27"/>
        <v>-586239.98731999996</v>
      </c>
      <c r="H42" s="14">
        <f t="shared" si="27"/>
        <v>-580884.23502999998</v>
      </c>
      <c r="I42" s="14">
        <f t="shared" si="27"/>
        <v>-572625.10888999992</v>
      </c>
      <c r="J42" s="14">
        <f t="shared" si="27"/>
        <v>-539598.52908999985</v>
      </c>
      <c r="K42" s="14">
        <f t="shared" si="27"/>
        <v>-551854.62187999988</v>
      </c>
      <c r="L42" s="14">
        <f t="shared" si="27"/>
        <v>-561918.8597899999</v>
      </c>
      <c r="M42" s="14">
        <f t="shared" si="27"/>
        <v>-531173.77675999992</v>
      </c>
      <c r="N42" s="14">
        <f t="shared" si="27"/>
        <v>-531173.7767599998</v>
      </c>
    </row>
    <row r="43" spans="1:14" ht="28.2" customHeight="1" thickBot="1" x14ac:dyDescent="0.3">
      <c r="A43" s="15" t="s">
        <v>11</v>
      </c>
      <c r="B43" s="19">
        <f t="shared" ref="B43:N43" si="28">B6+B16-B7</f>
        <v>-125583.71999999999</v>
      </c>
      <c r="C43" s="19">
        <f t="shared" si="28"/>
        <v>-163788.34999999998</v>
      </c>
      <c r="D43" s="19">
        <f t="shared" si="28"/>
        <v>-152217.44999999998</v>
      </c>
      <c r="E43" s="19">
        <f t="shared" si="28"/>
        <v>-161509.75999999998</v>
      </c>
      <c r="F43" s="19">
        <f t="shared" si="28"/>
        <v>-173137.40999999997</v>
      </c>
      <c r="G43" s="19">
        <f t="shared" si="28"/>
        <v>-163460.37999999998</v>
      </c>
      <c r="H43" s="19">
        <f t="shared" si="28"/>
        <v>-164772.53999999998</v>
      </c>
      <c r="I43" s="19">
        <f t="shared" si="28"/>
        <v>-164969.93999999997</v>
      </c>
      <c r="J43" s="19">
        <f t="shared" si="28"/>
        <v>-146815.46999999997</v>
      </c>
      <c r="K43" s="19">
        <f t="shared" si="28"/>
        <v>-167214.35999999993</v>
      </c>
      <c r="L43" s="19">
        <f t="shared" si="28"/>
        <v>-197426.46999999991</v>
      </c>
      <c r="M43" s="19">
        <f t="shared" si="28"/>
        <v>-179928.7699999999</v>
      </c>
      <c r="N43" s="19">
        <f t="shared" si="28"/>
        <v>-179928.7699999999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2024-03-01T08:10:24Z</cp:lastPrinted>
  <dcterms:created xsi:type="dcterms:W3CDTF">2011-06-06T03:25:48Z</dcterms:created>
  <dcterms:modified xsi:type="dcterms:W3CDTF">2024-03-01T08:19:35Z</dcterms:modified>
</cp:coreProperties>
</file>