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96" windowWidth="16152" windowHeight="10992"/>
  </bookViews>
  <sheets>
    <sheet name="2023" sheetId="1" r:id="rId1"/>
  </sheets>
  <calcPr calcId="144525"/>
</workbook>
</file>

<file path=xl/calcChain.xml><?xml version="1.0" encoding="utf-8"?>
<calcChain xmlns="http://schemas.openxmlformats.org/spreadsheetml/2006/main">
  <c r="L26" i="1" l="1"/>
  <c r="K36" i="1" l="1"/>
  <c r="M27" i="1" l="1"/>
  <c r="M16" i="1"/>
  <c r="M26" i="1"/>
  <c r="M8" i="1"/>
  <c r="L27" i="1" l="1"/>
  <c r="L16" i="1"/>
  <c r="L8" i="1"/>
  <c r="K27" i="1" l="1"/>
  <c r="K16" i="1"/>
  <c r="K26" i="1"/>
  <c r="K8" i="1"/>
  <c r="K33" i="1" l="1"/>
  <c r="L33" i="1"/>
  <c r="M33" i="1"/>
  <c r="K28" i="1"/>
  <c r="L28" i="1"/>
  <c r="M28" i="1"/>
  <c r="K25" i="1"/>
  <c r="L25" i="1"/>
  <c r="M25" i="1"/>
  <c r="K24" i="1"/>
  <c r="L24" i="1"/>
  <c r="M24" i="1"/>
  <c r="J36" i="1" l="1"/>
  <c r="I36" i="1" l="1"/>
  <c r="H33" i="1" l="1"/>
  <c r="I33" i="1"/>
  <c r="J33" i="1"/>
  <c r="J27" i="1" l="1"/>
  <c r="J16" i="1"/>
  <c r="J26" i="1"/>
  <c r="J8" i="1"/>
  <c r="I27" i="1" l="1"/>
  <c r="I16" i="1"/>
  <c r="I26" i="1"/>
  <c r="I8" i="1"/>
  <c r="H27" i="1" l="1"/>
  <c r="H16" i="1"/>
  <c r="H26" i="1"/>
  <c r="H8" i="1"/>
  <c r="H28" i="1" l="1"/>
  <c r="I28" i="1"/>
  <c r="J28" i="1"/>
  <c r="H25" i="1"/>
  <c r="I25" i="1"/>
  <c r="J25" i="1"/>
  <c r="H24" i="1"/>
  <c r="I24" i="1"/>
  <c r="J24" i="1"/>
  <c r="G36" i="1" l="1"/>
  <c r="G27" i="1" l="1"/>
  <c r="G16" i="1"/>
  <c r="G26" i="1"/>
  <c r="G8" i="1"/>
  <c r="F27" i="1" l="1"/>
  <c r="F16" i="1"/>
  <c r="F26" i="1"/>
  <c r="F8" i="1"/>
  <c r="E27" i="1" l="1"/>
  <c r="E16" i="1"/>
  <c r="E26" i="1"/>
  <c r="E8" i="1"/>
  <c r="N34" i="1"/>
  <c r="E33" i="1" l="1"/>
  <c r="F33" i="1"/>
  <c r="G33" i="1"/>
  <c r="E28" i="1"/>
  <c r="F28" i="1"/>
  <c r="G28" i="1"/>
  <c r="E25" i="1"/>
  <c r="F25" i="1"/>
  <c r="G25" i="1"/>
  <c r="E24" i="1"/>
  <c r="F24" i="1"/>
  <c r="G24" i="1"/>
  <c r="D36" i="1" l="1"/>
  <c r="D27" i="1" l="1"/>
  <c r="D16" i="1"/>
  <c r="D26" i="1"/>
  <c r="D8" i="1"/>
  <c r="C36" i="1" l="1"/>
  <c r="C27" i="1" l="1"/>
  <c r="C16" i="1"/>
  <c r="C26" i="1"/>
  <c r="C8" i="1"/>
  <c r="B36" i="1" l="1"/>
  <c r="B27" i="1" l="1"/>
  <c r="B16" i="1"/>
  <c r="B26" i="1"/>
  <c r="B8" i="1"/>
  <c r="C33" i="1" l="1"/>
  <c r="D33" i="1"/>
  <c r="C28" i="1"/>
  <c r="D28" i="1"/>
  <c r="C24" i="1"/>
  <c r="D24" i="1"/>
  <c r="C25" i="1"/>
  <c r="D25" i="1"/>
  <c r="B33" i="1"/>
  <c r="B28" i="1"/>
  <c r="B25" i="1"/>
  <c r="B24" i="1"/>
  <c r="N5" i="1" l="1"/>
  <c r="G15" i="1" l="1"/>
  <c r="N6" i="1" l="1"/>
  <c r="M7" i="1" l="1"/>
  <c r="L7" i="1"/>
  <c r="K7" i="1"/>
  <c r="N24" i="1"/>
  <c r="N25" i="1"/>
  <c r="N26" i="1"/>
  <c r="N27" i="1"/>
  <c r="N28" i="1"/>
  <c r="N29" i="1"/>
  <c r="N30" i="1"/>
  <c r="N31" i="1"/>
  <c r="N32" i="1"/>
  <c r="N33" i="1"/>
  <c r="N35" i="1"/>
  <c r="N36" i="1"/>
  <c r="N17" i="1"/>
  <c r="N18" i="1"/>
  <c r="N19" i="1"/>
  <c r="N20" i="1"/>
  <c r="N21" i="1"/>
  <c r="N22" i="1"/>
  <c r="K15" i="1"/>
  <c r="L15" i="1"/>
  <c r="M15" i="1"/>
  <c r="N9" i="1"/>
  <c r="N10" i="1"/>
  <c r="N11" i="1"/>
  <c r="N12" i="1"/>
  <c r="N13" i="1"/>
  <c r="N14" i="1"/>
  <c r="M37" i="1" l="1"/>
  <c r="M38" i="1" s="1"/>
  <c r="L37" i="1"/>
  <c r="L38" i="1" s="1"/>
  <c r="K37" i="1"/>
  <c r="K38" i="1" l="1"/>
  <c r="H15" i="1"/>
  <c r="I15" i="1"/>
  <c r="J15" i="1"/>
  <c r="I7" i="1"/>
  <c r="J7" i="1"/>
  <c r="H37" i="1" l="1"/>
  <c r="H38" i="1" s="1"/>
  <c r="J37" i="1"/>
  <c r="J38" i="1" s="1"/>
  <c r="H7" i="1"/>
  <c r="I37" i="1" l="1"/>
  <c r="N8" i="1"/>
  <c r="F15" i="1"/>
  <c r="G7" i="1"/>
  <c r="D15" i="1"/>
  <c r="D37" i="1" s="1"/>
  <c r="D38" i="1" s="1"/>
  <c r="D7" i="1"/>
  <c r="C15" i="1"/>
  <c r="C7" i="1"/>
  <c r="B15" i="1"/>
  <c r="B7" i="1"/>
  <c r="G37" i="1" l="1"/>
  <c r="G38" i="1" s="1"/>
  <c r="C37" i="1"/>
  <c r="C38" i="1" s="1"/>
  <c r="E7" i="1"/>
  <c r="E15" i="1"/>
  <c r="N16" i="1"/>
  <c r="I38" i="1"/>
  <c r="F7" i="1"/>
  <c r="F37" i="1"/>
  <c r="F38" i="1" s="1"/>
  <c r="B40" i="1"/>
  <c r="C6" i="1" s="1"/>
  <c r="C40" i="1" s="1"/>
  <c r="D6" i="1" s="1"/>
  <c r="D40" i="1" l="1"/>
  <c r="E6" i="1" s="1"/>
  <c r="E40" i="1" s="1"/>
  <c r="E37" i="1"/>
  <c r="E38" i="1" s="1"/>
  <c r="N7" i="1"/>
  <c r="N15" i="1"/>
  <c r="B37" i="1"/>
  <c r="N37" i="1" l="1"/>
  <c r="N40" i="1"/>
  <c r="F6" i="1"/>
  <c r="F40" i="1" s="1"/>
  <c r="B38" i="1"/>
  <c r="G6" i="1" l="1"/>
  <c r="N38" i="1"/>
  <c r="N39" i="1" s="1"/>
  <c r="B39" i="1"/>
  <c r="G40" i="1" l="1"/>
  <c r="H6" i="1" s="1"/>
  <c r="H40" i="1" s="1"/>
  <c r="I6" i="1" s="1"/>
  <c r="I40" i="1" s="1"/>
  <c r="C5" i="1"/>
  <c r="C39" i="1" s="1"/>
  <c r="J6" i="1" l="1"/>
  <c r="J40" i="1" s="1"/>
  <c r="D5" i="1"/>
  <c r="D39" i="1" s="1"/>
  <c r="K6" i="1" l="1"/>
  <c r="K40" i="1" s="1"/>
  <c r="L6" i="1" s="1"/>
  <c r="L40" i="1" s="1"/>
  <c r="E5" i="1"/>
  <c r="E39" i="1" s="1"/>
  <c r="M6" i="1" l="1"/>
  <c r="M40" i="1" s="1"/>
  <c r="F5" i="1"/>
  <c r="F39" i="1" s="1"/>
  <c r="G5" i="1" l="1"/>
  <c r="G39" i="1" l="1"/>
  <c r="H5" i="1" s="1"/>
  <c r="H39" i="1" s="1"/>
  <c r="I5" i="1" s="1"/>
  <c r="I39" i="1" s="1"/>
  <c r="J5" i="1" s="1"/>
  <c r="J39" i="1" s="1"/>
  <c r="K5" i="1" s="1"/>
  <c r="K39" i="1" s="1"/>
  <c r="L5" i="1" s="1"/>
  <c r="L39" i="1" s="1"/>
  <c r="M5" i="1" s="1"/>
  <c r="M39" i="1" s="1"/>
</calcChain>
</file>

<file path=xl/sharedStrings.xml><?xml version="1.0" encoding="utf-8"?>
<sst xmlns="http://schemas.openxmlformats.org/spreadsheetml/2006/main" count="52" uniqueCount="43">
  <si>
    <t>Наименование статей</t>
  </si>
  <si>
    <t>Аварийная служба</t>
  </si>
  <si>
    <t>ЕИРКЦ паспортная служба</t>
  </si>
  <si>
    <t>ЕИРКЦ услуги за начисление</t>
  </si>
  <si>
    <t>Система «Город» по приему платежей</t>
  </si>
  <si>
    <t>Экономия/перерасход (+,-)</t>
  </si>
  <si>
    <t>Услуги управляющей компании</t>
  </si>
  <si>
    <t>Накопительный счет</t>
  </si>
  <si>
    <t>Поступления за месяц, всего:</t>
  </si>
  <si>
    <t>Содержание и техобслуживание МКД</t>
  </si>
  <si>
    <t>Подрядные работы, текущий ремонт</t>
  </si>
  <si>
    <t>Задолженность по оплате (сальдо исходящее)</t>
  </si>
  <si>
    <t>Начисления за месяц, всего:</t>
  </si>
  <si>
    <t xml:space="preserve">Входящее сальдо по оплате на начало периода </t>
  </si>
  <si>
    <t>Дополнительный доход (использование общего имущества)</t>
  </si>
  <si>
    <t>Средства на счете дома на начало периода</t>
  </si>
  <si>
    <t>ГВС на содержание ОИ</t>
  </si>
  <si>
    <t>ХВС на содержание ОИ</t>
  </si>
  <si>
    <t>Эл.энергия на содержание ОИ</t>
  </si>
  <si>
    <t>Расходы ГВС на содержание ОИ</t>
  </si>
  <si>
    <t>Расходы ХВС на содержание ОИ</t>
  </si>
  <si>
    <t>Расходы эл.энергия на содержание ОИ</t>
  </si>
  <si>
    <t>Итого расходы</t>
  </si>
  <si>
    <t>РАСХОДЫ</t>
  </si>
  <si>
    <t>Тех.обслуживание узла учета тепловой энергии</t>
  </si>
  <si>
    <t>Отведение сточных вод ОИ</t>
  </si>
  <si>
    <t>Содержание жилья и текущий ремонт,  ОПУ</t>
  </si>
  <si>
    <t xml:space="preserve"> </t>
  </si>
  <si>
    <t>Январь 2023г.</t>
  </si>
  <si>
    <t>Февраль 2023г.</t>
  </si>
  <si>
    <t>Март 2023г.</t>
  </si>
  <si>
    <t>Апрель 2023г.</t>
  </si>
  <si>
    <t>Май 2023г.</t>
  </si>
  <si>
    <t>Июнь 2023г</t>
  </si>
  <si>
    <t>Июль 2023г.</t>
  </si>
  <si>
    <t>Август 2023г.</t>
  </si>
  <si>
    <t>Сентябрь 2023г.</t>
  </si>
  <si>
    <t>Октябрь 2023г</t>
  </si>
  <si>
    <t>Ноябрь 2023г</t>
  </si>
  <si>
    <t>Декабрь 2023г</t>
  </si>
  <si>
    <t>Всего:                       за  2023г</t>
  </si>
  <si>
    <t>Возмещение расходов совета МКД</t>
  </si>
  <si>
    <t xml:space="preserve">                 ОТЧЕТ по дому Ленинградская, 95 за период 01.01.2023г. по 31.12.2023г.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</si>
</sst>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8" x14ac:knownFonts="1">
    <font>
      <sz val="10"/>
      <name val="Arial Cyr"/>
      <charset val="204"/>
    </font>
    <font>
      <b/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sz val="16"/>
      <name val="Arial Cyr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4" fillId="0" borderId="0" xfId="0" applyFont="1"/>
    <xf numFmtId="0" fontId="0" fillId="0" borderId="0" xfId="0" applyBorder="1"/>
    <xf numFmtId="0" fontId="5" fillId="0" borderId="3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7" fillId="2" borderId="3" xfId="0" applyFont="1" applyFill="1" applyBorder="1" applyAlignment="1">
      <alignment vertical="top" wrapText="1"/>
    </xf>
    <xf numFmtId="164" fontId="7" fillId="2" borderId="4" xfId="0" applyNumberFormat="1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vertical="top" wrapText="1"/>
    </xf>
    <xf numFmtId="164" fontId="7" fillId="3" borderId="4" xfId="0" applyNumberFormat="1" applyFont="1" applyFill="1" applyBorder="1" applyAlignment="1">
      <alignment horizontal="left" vertical="top" wrapText="1"/>
    </xf>
    <xf numFmtId="164" fontId="5" fillId="0" borderId="4" xfId="0" applyNumberFormat="1" applyFont="1" applyBorder="1" applyAlignment="1">
      <alignment horizontal="left" vertical="top" wrapText="1"/>
    </xf>
    <xf numFmtId="0" fontId="7" fillId="4" borderId="3" xfId="0" applyFont="1" applyFill="1" applyBorder="1" applyAlignment="1">
      <alignment vertical="top" wrapText="1"/>
    </xf>
    <xf numFmtId="164" fontId="7" fillId="4" borderId="4" xfId="0" applyNumberFormat="1" applyFont="1" applyFill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left" vertical="top" wrapText="1"/>
    </xf>
    <xf numFmtId="0" fontId="7" fillId="0" borderId="3" xfId="0" applyFont="1" applyBorder="1" applyAlignment="1">
      <alignment vertical="top" wrapText="1"/>
    </xf>
    <xf numFmtId="164" fontId="7" fillId="0" borderId="5" xfId="0" applyNumberFormat="1" applyFont="1" applyBorder="1" applyAlignment="1">
      <alignment horizontal="left" vertical="top" wrapText="1"/>
    </xf>
    <xf numFmtId="164" fontId="7" fillId="0" borderId="2" xfId="0" applyNumberFormat="1" applyFont="1" applyBorder="1" applyAlignment="1">
      <alignment horizontal="left" vertical="top" wrapText="1"/>
    </xf>
    <xf numFmtId="164" fontId="5" fillId="0" borderId="6" xfId="0" applyNumberFormat="1" applyFont="1" applyBorder="1" applyAlignment="1">
      <alignment horizontal="left" vertical="top" wrapText="1"/>
    </xf>
    <xf numFmtId="164" fontId="7" fillId="0" borderId="4" xfId="0" applyNumberFormat="1" applyFont="1" applyBorder="1" applyAlignment="1">
      <alignment horizontal="left" vertical="top" wrapText="1"/>
    </xf>
    <xf numFmtId="164" fontId="5" fillId="0" borderId="4" xfId="0" applyNumberFormat="1" applyFont="1" applyFill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6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0"/>
  <sheetViews>
    <sheetView tabSelected="1" topLeftCell="B28" zoomScale="75" workbookViewId="0">
      <selection activeCell="M37" sqref="M37"/>
    </sheetView>
  </sheetViews>
  <sheetFormatPr defaultRowHeight="13.2" x14ac:dyDescent="0.25"/>
  <cols>
    <col min="1" max="1" width="58.6640625" customWidth="1"/>
    <col min="2" max="2" width="15.109375" customWidth="1"/>
    <col min="3" max="3" width="14.33203125" customWidth="1"/>
    <col min="4" max="4" width="13.44140625" customWidth="1"/>
    <col min="5" max="5" width="13.88671875" customWidth="1"/>
    <col min="6" max="7" width="14.33203125" customWidth="1"/>
    <col min="8" max="8" width="13.88671875" customWidth="1"/>
    <col min="9" max="9" width="13.6640625" customWidth="1"/>
    <col min="10" max="13" width="13.33203125" customWidth="1"/>
    <col min="14" max="14" width="16.109375" customWidth="1"/>
  </cols>
  <sheetData>
    <row r="1" spans="1:18" ht="20.25" customHeight="1" x14ac:dyDescent="0.35">
      <c r="A1" s="21" t="s">
        <v>42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8" ht="7.5" customHeight="1" thickBot="1" x14ac:dyDescent="0.3">
      <c r="A2" s="1"/>
      <c r="R2" s="2"/>
    </row>
    <row r="3" spans="1:18" ht="3" hidden="1" customHeight="1" thickBot="1" x14ac:dyDescent="0.3">
      <c r="A3" s="1"/>
    </row>
    <row r="4" spans="1:18" ht="38.25" customHeight="1" thickBot="1" x14ac:dyDescent="0.3">
      <c r="A4" s="5" t="s">
        <v>0</v>
      </c>
      <c r="B4" s="6" t="s">
        <v>28</v>
      </c>
      <c r="C4" s="6" t="s">
        <v>29</v>
      </c>
      <c r="D4" s="6" t="s">
        <v>30</v>
      </c>
      <c r="E4" s="6" t="s">
        <v>31</v>
      </c>
      <c r="F4" s="6" t="s">
        <v>32</v>
      </c>
      <c r="G4" s="6" t="s">
        <v>33</v>
      </c>
      <c r="H4" s="6" t="s">
        <v>34</v>
      </c>
      <c r="I4" s="6" t="s">
        <v>35</v>
      </c>
      <c r="J4" s="6" t="s">
        <v>36</v>
      </c>
      <c r="K4" s="6" t="s">
        <v>37</v>
      </c>
      <c r="L4" s="6" t="s">
        <v>38</v>
      </c>
      <c r="M4" s="6" t="s">
        <v>39</v>
      </c>
      <c r="N4" s="6" t="s">
        <v>40</v>
      </c>
    </row>
    <row r="5" spans="1:18" ht="23.25" customHeight="1" thickBot="1" x14ac:dyDescent="0.3">
      <c r="A5" s="7" t="s">
        <v>15</v>
      </c>
      <c r="B5" s="8">
        <v>34964.14</v>
      </c>
      <c r="C5" s="8">
        <f t="shared" ref="C5:D6" si="0">B39</f>
        <v>-3807.5864100000035</v>
      </c>
      <c r="D5" s="8">
        <f t="shared" si="0"/>
        <v>8274.5392099999954</v>
      </c>
      <c r="E5" s="8">
        <f t="shared" ref="E5:E6" si="1">D39</f>
        <v>18589.123369999998</v>
      </c>
      <c r="F5" s="8">
        <f t="shared" ref="F5:F6" si="2">E39</f>
        <v>27588.924089999993</v>
      </c>
      <c r="G5" s="8">
        <f t="shared" ref="G5:G6" si="3">F39</f>
        <v>36834.225549999988</v>
      </c>
      <c r="H5" s="8">
        <f t="shared" ref="H5:H6" si="4">G39</f>
        <v>-101879.58766</v>
      </c>
      <c r="I5" s="8">
        <f t="shared" ref="I5:I6" si="5">H39</f>
        <v>-96052.522800000006</v>
      </c>
      <c r="J5" s="8">
        <f t="shared" ref="J5:J6" si="6">I39</f>
        <v>-86180.174480000001</v>
      </c>
      <c r="K5" s="8">
        <f t="shared" ref="K5:K6" si="7">J39</f>
        <v>-80852.538820000002</v>
      </c>
      <c r="L5" s="8">
        <f t="shared" ref="L5:L6" si="8">K39</f>
        <v>-81856.99596</v>
      </c>
      <c r="M5" s="8">
        <f t="shared" ref="M5:M6" si="9">L39</f>
        <v>-71409.447270000004</v>
      </c>
      <c r="N5" s="8">
        <f>B5</f>
        <v>34964.14</v>
      </c>
    </row>
    <row r="6" spans="1:18" ht="21" customHeight="1" thickBot="1" x14ac:dyDescent="0.3">
      <c r="A6" s="7" t="s">
        <v>13</v>
      </c>
      <c r="B6" s="8">
        <v>-33293.89</v>
      </c>
      <c r="C6" s="8">
        <f t="shared" si="0"/>
        <v>-33883.61</v>
      </c>
      <c r="D6" s="8">
        <f t="shared" si="0"/>
        <v>-30430.049999999996</v>
      </c>
      <c r="E6" s="8">
        <f t="shared" si="1"/>
        <v>-30189.339999999997</v>
      </c>
      <c r="F6" s="8">
        <f t="shared" si="2"/>
        <v>-31048.260000000002</v>
      </c>
      <c r="G6" s="8">
        <f t="shared" si="3"/>
        <v>-32589.39</v>
      </c>
      <c r="H6" s="8">
        <f t="shared" si="4"/>
        <v>-29714.499999999993</v>
      </c>
      <c r="I6" s="8">
        <f t="shared" si="5"/>
        <v>-32581.009999999991</v>
      </c>
      <c r="J6" s="8">
        <f t="shared" si="6"/>
        <v>-32523.059999999987</v>
      </c>
      <c r="K6" s="8">
        <f t="shared" si="7"/>
        <v>-32609.139999999981</v>
      </c>
      <c r="L6" s="8">
        <f t="shared" si="8"/>
        <v>-32586.479999999985</v>
      </c>
      <c r="M6" s="8">
        <f t="shared" si="9"/>
        <v>-31273.98999999998</v>
      </c>
      <c r="N6" s="8">
        <f>B6</f>
        <v>-33293.89</v>
      </c>
    </row>
    <row r="7" spans="1:18" ht="20.25" customHeight="1" thickBot="1" x14ac:dyDescent="0.3">
      <c r="A7" s="9" t="s">
        <v>12</v>
      </c>
      <c r="B7" s="10">
        <f>SUM(B8:B14)</f>
        <v>34819.17</v>
      </c>
      <c r="C7" s="10">
        <f>SUM(C8:C14)</f>
        <v>35160.859999999993</v>
      </c>
      <c r="D7" s="10">
        <f>SUM(D8:D14)</f>
        <v>34921.18</v>
      </c>
      <c r="E7" s="10">
        <f t="shared" ref="E7:M7" si="10">SUM(E8:E14)</f>
        <v>34298.959999999999</v>
      </c>
      <c r="F7" s="10">
        <f t="shared" si="10"/>
        <v>34885.479999999996</v>
      </c>
      <c r="G7" s="10">
        <f t="shared" si="10"/>
        <v>34283.67</v>
      </c>
      <c r="H7" s="10">
        <f t="shared" si="10"/>
        <v>35191.479999999996</v>
      </c>
      <c r="I7" s="10">
        <f t="shared" si="10"/>
        <v>36956.06</v>
      </c>
      <c r="J7" s="10">
        <f t="shared" si="10"/>
        <v>34788.579999999994</v>
      </c>
      <c r="K7" s="10">
        <f t="shared" si="10"/>
        <v>35308.78</v>
      </c>
      <c r="L7" s="10">
        <f t="shared" si="10"/>
        <v>33605.369999999995</v>
      </c>
      <c r="M7" s="10">
        <f t="shared" si="10"/>
        <v>34972.159999999996</v>
      </c>
      <c r="N7" s="10">
        <f>SUM(B7:M7)</f>
        <v>419191.74999999994</v>
      </c>
    </row>
    <row r="8" spans="1:18" ht="24.75" customHeight="1" thickBot="1" x14ac:dyDescent="0.3">
      <c r="A8" s="4" t="s">
        <v>26</v>
      </c>
      <c r="B8" s="11">
        <f t="shared" ref="B8:G8" si="11">30335.1+951.37</f>
        <v>31286.469999999998</v>
      </c>
      <c r="C8" s="11">
        <f t="shared" si="11"/>
        <v>31286.469999999998</v>
      </c>
      <c r="D8" s="11">
        <f t="shared" si="11"/>
        <v>31286.469999999998</v>
      </c>
      <c r="E8" s="11">
        <f t="shared" si="11"/>
        <v>31286.469999999998</v>
      </c>
      <c r="F8" s="11">
        <f t="shared" si="11"/>
        <v>31286.469999999998</v>
      </c>
      <c r="G8" s="11">
        <f t="shared" si="11"/>
        <v>31286.469999999998</v>
      </c>
      <c r="H8" s="11">
        <f t="shared" ref="H8:M8" si="12">30335.1+951.37</f>
        <v>31286.469999999998</v>
      </c>
      <c r="I8" s="11">
        <f t="shared" si="12"/>
        <v>31286.469999999998</v>
      </c>
      <c r="J8" s="11">
        <f t="shared" si="12"/>
        <v>31286.469999999998</v>
      </c>
      <c r="K8" s="11">
        <f t="shared" si="12"/>
        <v>31286.469999999998</v>
      </c>
      <c r="L8" s="11">
        <f t="shared" si="12"/>
        <v>31286.469999999998</v>
      </c>
      <c r="M8" s="11">
        <f t="shared" si="12"/>
        <v>31286.469999999998</v>
      </c>
      <c r="N8" s="11">
        <f>SUM(B8:M8)</f>
        <v>375437.6399999999</v>
      </c>
    </row>
    <row r="9" spans="1:18" ht="24.75" customHeight="1" thickBot="1" x14ac:dyDescent="0.3">
      <c r="A9" s="4" t="s">
        <v>16</v>
      </c>
      <c r="B9" s="11">
        <v>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f t="shared" ref="N9:N14" si="13">SUM(B9:M9)</f>
        <v>0</v>
      </c>
      <c r="Q9" t="s">
        <v>27</v>
      </c>
    </row>
    <row r="10" spans="1:18" ht="24.75" customHeight="1" thickBot="1" x14ac:dyDescent="0.3">
      <c r="A10" s="4" t="s">
        <v>17</v>
      </c>
      <c r="B10" s="11">
        <v>86.16</v>
      </c>
      <c r="C10" s="11">
        <v>86.16</v>
      </c>
      <c r="D10" s="11">
        <v>86.16</v>
      </c>
      <c r="E10" s="11">
        <v>86.16</v>
      </c>
      <c r="F10" s="11">
        <v>86.16</v>
      </c>
      <c r="G10" s="11">
        <v>86.16</v>
      </c>
      <c r="H10" s="11">
        <v>86.16</v>
      </c>
      <c r="I10" s="11">
        <v>86.16</v>
      </c>
      <c r="J10" s="11">
        <v>86.16</v>
      </c>
      <c r="K10" s="11">
        <v>86.16</v>
      </c>
      <c r="L10" s="11">
        <v>86.16</v>
      </c>
      <c r="M10" s="11">
        <v>86.16</v>
      </c>
      <c r="N10" s="11">
        <f t="shared" si="13"/>
        <v>1033.9199999999998</v>
      </c>
    </row>
    <row r="11" spans="1:18" ht="24.75" customHeight="1" thickBot="1" x14ac:dyDescent="0.3">
      <c r="A11" s="4" t="s">
        <v>18</v>
      </c>
      <c r="B11" s="11">
        <v>1264.8</v>
      </c>
      <c r="C11" s="11">
        <v>1606.49</v>
      </c>
      <c r="D11" s="11">
        <v>1366.81</v>
      </c>
      <c r="E11" s="11">
        <v>744.59</v>
      </c>
      <c r="F11" s="11">
        <v>1331.11</v>
      </c>
      <c r="G11" s="11">
        <v>729.3</v>
      </c>
      <c r="H11" s="11">
        <v>1637.11</v>
      </c>
      <c r="I11" s="11">
        <v>3401.69</v>
      </c>
      <c r="J11" s="11">
        <v>1234.21</v>
      </c>
      <c r="K11" s="11">
        <v>1754.41</v>
      </c>
      <c r="L11" s="11">
        <v>51</v>
      </c>
      <c r="M11" s="11">
        <v>1417.79</v>
      </c>
      <c r="N11" s="11">
        <f t="shared" si="13"/>
        <v>16539.310000000001</v>
      </c>
    </row>
    <row r="12" spans="1:18" ht="24.75" customHeight="1" thickBot="1" x14ac:dyDescent="0.3">
      <c r="A12" s="4" t="s">
        <v>25</v>
      </c>
      <c r="B12" s="11">
        <v>166.24</v>
      </c>
      <c r="C12" s="11">
        <v>166.24</v>
      </c>
      <c r="D12" s="11">
        <v>166.24</v>
      </c>
      <c r="E12" s="11">
        <v>166.24</v>
      </c>
      <c r="F12" s="11">
        <v>166.24</v>
      </c>
      <c r="G12" s="11">
        <v>166.24</v>
      </c>
      <c r="H12" s="11">
        <v>166.24</v>
      </c>
      <c r="I12" s="11">
        <v>166.24</v>
      </c>
      <c r="J12" s="11">
        <v>166.24</v>
      </c>
      <c r="K12" s="11">
        <v>166.24</v>
      </c>
      <c r="L12" s="11">
        <v>166.24</v>
      </c>
      <c r="M12" s="11">
        <v>166.24</v>
      </c>
      <c r="N12" s="11">
        <f t="shared" si="13"/>
        <v>1994.88</v>
      </c>
    </row>
    <row r="13" spans="1:18" ht="24.75" customHeight="1" thickBot="1" x14ac:dyDescent="0.3">
      <c r="A13" s="4" t="s">
        <v>41</v>
      </c>
      <c r="B13" s="11">
        <v>1615.5</v>
      </c>
      <c r="C13" s="11">
        <v>1615.5</v>
      </c>
      <c r="D13" s="11">
        <v>1615.5</v>
      </c>
      <c r="E13" s="11">
        <v>1615.5</v>
      </c>
      <c r="F13" s="11">
        <v>1615.5</v>
      </c>
      <c r="G13" s="11">
        <v>1615.5</v>
      </c>
      <c r="H13" s="11">
        <v>1615.5</v>
      </c>
      <c r="I13" s="11">
        <v>1615.5</v>
      </c>
      <c r="J13" s="11">
        <v>1615.5</v>
      </c>
      <c r="K13" s="11">
        <v>1615.5</v>
      </c>
      <c r="L13" s="11">
        <v>1615.5</v>
      </c>
      <c r="M13" s="11">
        <v>1615.5</v>
      </c>
      <c r="N13" s="11">
        <f t="shared" si="13"/>
        <v>19386</v>
      </c>
    </row>
    <row r="14" spans="1:18" ht="24.75" customHeight="1" thickBot="1" x14ac:dyDescent="0.3">
      <c r="A14" s="4" t="s">
        <v>14</v>
      </c>
      <c r="B14" s="11">
        <v>400</v>
      </c>
      <c r="C14" s="11">
        <v>400</v>
      </c>
      <c r="D14" s="11">
        <v>400</v>
      </c>
      <c r="E14" s="11">
        <v>400</v>
      </c>
      <c r="F14" s="11">
        <v>400</v>
      </c>
      <c r="G14" s="11">
        <v>400</v>
      </c>
      <c r="H14" s="11">
        <v>400</v>
      </c>
      <c r="I14" s="11">
        <v>400</v>
      </c>
      <c r="J14" s="11">
        <v>400</v>
      </c>
      <c r="K14" s="11">
        <v>400</v>
      </c>
      <c r="L14" s="11">
        <v>400</v>
      </c>
      <c r="M14" s="11">
        <v>400</v>
      </c>
      <c r="N14" s="11">
        <f t="shared" si="13"/>
        <v>4800</v>
      </c>
    </row>
    <row r="15" spans="1:18" ht="20.25" customHeight="1" thickBot="1" x14ac:dyDescent="0.3">
      <c r="A15" s="12" t="s">
        <v>8</v>
      </c>
      <c r="B15" s="13">
        <f>SUM(B16:B22)</f>
        <v>34229.449999999997</v>
      </c>
      <c r="C15" s="13">
        <f>SUM(C16:C22)</f>
        <v>38614.42</v>
      </c>
      <c r="D15" s="13">
        <f>SUM(D16:D22)</f>
        <v>35161.89</v>
      </c>
      <c r="E15" s="13">
        <f t="shared" ref="E15:M15" si="14">SUM(E16:E22)</f>
        <v>33440.039999999994</v>
      </c>
      <c r="F15" s="13">
        <f t="shared" si="14"/>
        <v>33344.35</v>
      </c>
      <c r="G15" s="13">
        <f t="shared" si="14"/>
        <v>37158.560000000005</v>
      </c>
      <c r="H15" s="13">
        <f t="shared" si="14"/>
        <v>32324.969999999998</v>
      </c>
      <c r="I15" s="13">
        <f t="shared" si="14"/>
        <v>37014.01</v>
      </c>
      <c r="J15" s="13">
        <f t="shared" si="14"/>
        <v>34702.5</v>
      </c>
      <c r="K15" s="13">
        <f t="shared" si="14"/>
        <v>35331.439999999995</v>
      </c>
      <c r="L15" s="13">
        <f t="shared" si="14"/>
        <v>34917.86</v>
      </c>
      <c r="M15" s="13">
        <f t="shared" si="14"/>
        <v>31839.02</v>
      </c>
      <c r="N15" s="13">
        <f>SUM(B15:M15)</f>
        <v>418078.51</v>
      </c>
    </row>
    <row r="16" spans="1:18" ht="24" customHeight="1" thickBot="1" x14ac:dyDescent="0.3">
      <c r="A16" s="4" t="s">
        <v>26</v>
      </c>
      <c r="B16" s="11">
        <f>30355.24+952</f>
        <v>31307.24</v>
      </c>
      <c r="C16" s="11">
        <f>33747.38+1058.4</f>
        <v>34805.78</v>
      </c>
      <c r="D16" s="11">
        <f>30336.06+951.37</f>
        <v>31287.43</v>
      </c>
      <c r="E16" s="11">
        <f>29051.67+911.92</f>
        <v>29963.589999999997</v>
      </c>
      <c r="F16" s="11">
        <f>29406.71+936.13</f>
        <v>30342.84</v>
      </c>
      <c r="G16" s="11">
        <f>32403.56+1001.62</f>
        <v>33405.18</v>
      </c>
      <c r="H16" s="11">
        <f>28577.82+896.25</f>
        <v>29474.07</v>
      </c>
      <c r="I16" s="11">
        <f>31974.16+1002.81</f>
        <v>32976.97</v>
      </c>
      <c r="J16" s="11">
        <f>28473.97+893</f>
        <v>29366.97</v>
      </c>
      <c r="K16" s="11">
        <f>30703.67+962.93</f>
        <v>31666.6</v>
      </c>
      <c r="L16" s="11">
        <f>30001.07+940.89</f>
        <v>30941.96</v>
      </c>
      <c r="M16" s="11">
        <f>28703.91+900.22</f>
        <v>29604.13</v>
      </c>
      <c r="N16" s="11">
        <f>SUM(B16:M16)</f>
        <v>375142.76</v>
      </c>
    </row>
    <row r="17" spans="1:15" ht="26.25" customHeight="1" thickBot="1" x14ac:dyDescent="0.3">
      <c r="A17" s="4" t="s">
        <v>16</v>
      </c>
      <c r="B17" s="11">
        <v>0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f t="shared" ref="N17:N22" si="15">SUM(B17:M17)</f>
        <v>0</v>
      </c>
    </row>
    <row r="18" spans="1:15" ht="26.25" customHeight="1" thickBot="1" x14ac:dyDescent="0.3">
      <c r="A18" s="4" t="s">
        <v>17</v>
      </c>
      <c r="B18" s="11">
        <v>63.68</v>
      </c>
      <c r="C18" s="11">
        <v>93.32</v>
      </c>
      <c r="D18" s="11">
        <v>86.16</v>
      </c>
      <c r="E18" s="11">
        <v>82.52</v>
      </c>
      <c r="F18" s="11">
        <v>83.51</v>
      </c>
      <c r="G18" s="11">
        <v>92.04</v>
      </c>
      <c r="H18" s="11">
        <v>81.17</v>
      </c>
      <c r="I18" s="11">
        <v>90.82</v>
      </c>
      <c r="J18" s="11">
        <v>80.87</v>
      </c>
      <c r="K18" s="11">
        <v>87.21</v>
      </c>
      <c r="L18" s="11">
        <v>85.21</v>
      </c>
      <c r="M18" s="11">
        <v>81.52</v>
      </c>
      <c r="N18" s="11">
        <f t="shared" si="15"/>
        <v>1008.0300000000001</v>
      </c>
    </row>
    <row r="19" spans="1:15" ht="26.25" customHeight="1" thickBot="1" x14ac:dyDescent="0.3">
      <c r="A19" s="4" t="s">
        <v>18</v>
      </c>
      <c r="B19" s="11">
        <v>681.23</v>
      </c>
      <c r="C19" s="11">
        <v>1335.38</v>
      </c>
      <c r="D19" s="11">
        <v>1606.56</v>
      </c>
      <c r="E19" s="11">
        <v>1308.96</v>
      </c>
      <c r="F19" s="11">
        <v>743.43</v>
      </c>
      <c r="G19" s="11">
        <v>1383.87</v>
      </c>
      <c r="H19" s="11">
        <v>689.52</v>
      </c>
      <c r="I19" s="11">
        <v>1669.75</v>
      </c>
      <c r="J19" s="11">
        <v>3180.45</v>
      </c>
      <c r="K19" s="11">
        <v>1392.81</v>
      </c>
      <c r="L19" s="11">
        <v>1710.03</v>
      </c>
      <c r="M19" s="11">
        <v>65.86</v>
      </c>
      <c r="N19" s="11">
        <f t="shared" si="15"/>
        <v>15767.850000000002</v>
      </c>
    </row>
    <row r="20" spans="1:15" ht="26.25" customHeight="1" thickBot="1" x14ac:dyDescent="0.3">
      <c r="A20" s="4" t="s">
        <v>25</v>
      </c>
      <c r="B20" s="11">
        <v>161.80000000000001</v>
      </c>
      <c r="C20" s="11">
        <v>184.94</v>
      </c>
      <c r="D20" s="11">
        <v>166.24</v>
      </c>
      <c r="E20" s="11">
        <v>159.22</v>
      </c>
      <c r="F20" s="11">
        <v>161.13999999999999</v>
      </c>
      <c r="G20" s="11">
        <v>177.58</v>
      </c>
      <c r="H20" s="11">
        <v>156.6</v>
      </c>
      <c r="I20" s="11">
        <v>175.23</v>
      </c>
      <c r="J20" s="11">
        <v>156.04</v>
      </c>
      <c r="K20" s="11">
        <v>168.26</v>
      </c>
      <c r="L20" s="11">
        <v>164.41</v>
      </c>
      <c r="M20" s="11">
        <v>157.30000000000001</v>
      </c>
      <c r="N20" s="11">
        <f t="shared" si="15"/>
        <v>1988.76</v>
      </c>
    </row>
    <row r="21" spans="1:15" ht="26.25" customHeight="1" thickBot="1" x14ac:dyDescent="0.3">
      <c r="A21" s="4" t="s">
        <v>41</v>
      </c>
      <c r="B21" s="11">
        <v>1615.5</v>
      </c>
      <c r="C21" s="11">
        <v>1795</v>
      </c>
      <c r="D21" s="11">
        <v>1615.5</v>
      </c>
      <c r="E21" s="11">
        <v>1525.75</v>
      </c>
      <c r="F21" s="11">
        <v>1613.43</v>
      </c>
      <c r="G21" s="11">
        <v>1699.89</v>
      </c>
      <c r="H21" s="11">
        <v>1523.61</v>
      </c>
      <c r="I21" s="11">
        <v>1701.24</v>
      </c>
      <c r="J21" s="11">
        <v>1518.17</v>
      </c>
      <c r="K21" s="11">
        <v>1616.56</v>
      </c>
      <c r="L21" s="11">
        <v>1616.25</v>
      </c>
      <c r="M21" s="11">
        <v>1530.21</v>
      </c>
      <c r="N21" s="11">
        <f t="shared" si="15"/>
        <v>19371.11</v>
      </c>
    </row>
    <row r="22" spans="1:15" ht="26.25" customHeight="1" thickBot="1" x14ac:dyDescent="0.3">
      <c r="A22" s="4" t="s">
        <v>14</v>
      </c>
      <c r="B22" s="14">
        <v>400</v>
      </c>
      <c r="C22" s="14">
        <v>400</v>
      </c>
      <c r="D22" s="14">
        <v>400</v>
      </c>
      <c r="E22" s="14">
        <v>400</v>
      </c>
      <c r="F22" s="14">
        <v>400</v>
      </c>
      <c r="G22" s="14">
        <v>400</v>
      </c>
      <c r="H22" s="14">
        <v>400</v>
      </c>
      <c r="I22" s="14">
        <v>400</v>
      </c>
      <c r="J22" s="14">
        <v>400</v>
      </c>
      <c r="K22" s="14">
        <v>400</v>
      </c>
      <c r="L22" s="14">
        <v>400</v>
      </c>
      <c r="M22" s="14">
        <v>400</v>
      </c>
      <c r="N22" s="11">
        <f t="shared" si="15"/>
        <v>4800</v>
      </c>
      <c r="O22" s="3"/>
    </row>
    <row r="23" spans="1:15" ht="21.75" customHeight="1" thickBot="1" x14ac:dyDescent="0.3">
      <c r="A23" s="15" t="s">
        <v>23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7"/>
    </row>
    <row r="24" spans="1:15" ht="19.5" customHeight="1" thickBot="1" x14ac:dyDescent="0.3">
      <c r="A24" s="4" t="s">
        <v>1</v>
      </c>
      <c r="B24" s="11">
        <f>1359.1*0.6</f>
        <v>815.45999999999992</v>
      </c>
      <c r="C24" s="11">
        <f t="shared" ref="C24:M24" si="16">1359.1*0.6</f>
        <v>815.45999999999992</v>
      </c>
      <c r="D24" s="11">
        <f t="shared" si="16"/>
        <v>815.45999999999992</v>
      </c>
      <c r="E24" s="11">
        <f t="shared" si="16"/>
        <v>815.45999999999992</v>
      </c>
      <c r="F24" s="11">
        <f t="shared" si="16"/>
        <v>815.45999999999992</v>
      </c>
      <c r="G24" s="11">
        <f t="shared" si="16"/>
        <v>815.45999999999992</v>
      </c>
      <c r="H24" s="11">
        <f t="shared" si="16"/>
        <v>815.45999999999992</v>
      </c>
      <c r="I24" s="11">
        <f t="shared" si="16"/>
        <v>815.45999999999992</v>
      </c>
      <c r="J24" s="11">
        <f t="shared" si="16"/>
        <v>815.45999999999992</v>
      </c>
      <c r="K24" s="11">
        <f t="shared" si="16"/>
        <v>815.45999999999992</v>
      </c>
      <c r="L24" s="11">
        <f t="shared" si="16"/>
        <v>815.45999999999992</v>
      </c>
      <c r="M24" s="11">
        <f t="shared" si="16"/>
        <v>815.45999999999992</v>
      </c>
      <c r="N24" s="11">
        <f t="shared" ref="N24:N36" si="17">SUM(B24:M24)</f>
        <v>9785.5199999999986</v>
      </c>
    </row>
    <row r="25" spans="1:15" ht="22.5" customHeight="1" thickBot="1" x14ac:dyDescent="0.3">
      <c r="A25" s="4" t="s">
        <v>2</v>
      </c>
      <c r="B25" s="11">
        <f t="shared" ref="B25:M25" si="18">1359.1*0.17</f>
        <v>231.047</v>
      </c>
      <c r="C25" s="11">
        <f t="shared" si="18"/>
        <v>231.047</v>
      </c>
      <c r="D25" s="11">
        <f t="shared" si="18"/>
        <v>231.047</v>
      </c>
      <c r="E25" s="11">
        <f t="shared" si="18"/>
        <v>231.047</v>
      </c>
      <c r="F25" s="11">
        <f t="shared" si="18"/>
        <v>231.047</v>
      </c>
      <c r="G25" s="11">
        <f t="shared" si="18"/>
        <v>231.047</v>
      </c>
      <c r="H25" s="11">
        <f t="shared" si="18"/>
        <v>231.047</v>
      </c>
      <c r="I25" s="11">
        <f t="shared" si="18"/>
        <v>231.047</v>
      </c>
      <c r="J25" s="11">
        <f t="shared" si="18"/>
        <v>231.047</v>
      </c>
      <c r="K25" s="11">
        <f t="shared" si="18"/>
        <v>231.047</v>
      </c>
      <c r="L25" s="11">
        <f t="shared" si="18"/>
        <v>231.047</v>
      </c>
      <c r="M25" s="11">
        <f t="shared" si="18"/>
        <v>231.047</v>
      </c>
      <c r="N25" s="11">
        <f t="shared" si="17"/>
        <v>2772.5639999999999</v>
      </c>
    </row>
    <row r="26" spans="1:15" ht="21" customHeight="1" thickBot="1" x14ac:dyDescent="0.3">
      <c r="A26" s="4" t="s">
        <v>3</v>
      </c>
      <c r="B26" s="11">
        <f>34419.17*2.3%</f>
        <v>791.64090999999996</v>
      </c>
      <c r="C26" s="11">
        <f>34760.86*2.3%</f>
        <v>799.49977999999999</v>
      </c>
      <c r="D26" s="11">
        <f>34521.18*2.3%</f>
        <v>793.98713999999995</v>
      </c>
      <c r="E26" s="11">
        <f>33898.96*2.3%</f>
        <v>779.67607999999996</v>
      </c>
      <c r="F26" s="11">
        <f>34485.48*2.3%</f>
        <v>793.16604000000007</v>
      </c>
      <c r="G26" s="11">
        <f>33883.67*2.3%</f>
        <v>779.32440999999994</v>
      </c>
      <c r="H26" s="11">
        <f>34791.48*2.3%</f>
        <v>800.20404000000008</v>
      </c>
      <c r="I26" s="11">
        <f>36556.06*2.3%</f>
        <v>840.78937999999994</v>
      </c>
      <c r="J26" s="11">
        <f>34388.58*2.3%</f>
        <v>790.93734000000006</v>
      </c>
      <c r="K26" s="11">
        <f>34908.78*2.3%</f>
        <v>802.90193999999997</v>
      </c>
      <c r="L26" s="11">
        <f>33205.37*2.3%</f>
        <v>763.72351000000003</v>
      </c>
      <c r="M26" s="11">
        <f>34572.16*2.3%</f>
        <v>795.15968000000009</v>
      </c>
      <c r="N26" s="11">
        <f t="shared" si="17"/>
        <v>9531.0102500000012</v>
      </c>
    </row>
    <row r="27" spans="1:15" ht="23.25" customHeight="1" thickBot="1" x14ac:dyDescent="0.3">
      <c r="A27" s="4" t="s">
        <v>4</v>
      </c>
      <c r="B27" s="11">
        <f>33829.45*3%</f>
        <v>1014.8834999999999</v>
      </c>
      <c r="C27" s="11">
        <f>38214.42*3%</f>
        <v>1146.4325999999999</v>
      </c>
      <c r="D27" s="11">
        <f>34761.89*3%</f>
        <v>1042.8567</v>
      </c>
      <c r="E27" s="11">
        <f>33040.04*3%</f>
        <v>991.20119999999997</v>
      </c>
      <c r="F27" s="11">
        <f>32944.35*3%</f>
        <v>988.33049999999992</v>
      </c>
      <c r="G27" s="11">
        <f>36758.56*3%</f>
        <v>1102.7567999999999</v>
      </c>
      <c r="H27" s="11">
        <f>31924.97*3%</f>
        <v>957.7491</v>
      </c>
      <c r="I27" s="11">
        <f>36614.01*3%</f>
        <v>1098.4203</v>
      </c>
      <c r="J27" s="11">
        <f>34302.5*3%</f>
        <v>1029.075</v>
      </c>
      <c r="K27" s="11">
        <f>34931.44*3%</f>
        <v>1047.9431999999999</v>
      </c>
      <c r="L27" s="11">
        <f>34517.86*3%</f>
        <v>1035.5357999999999</v>
      </c>
      <c r="M27" s="11">
        <f>31439.02*3%</f>
        <v>943.17059999999992</v>
      </c>
      <c r="N27" s="11">
        <f t="shared" si="17"/>
        <v>12398.355299999999</v>
      </c>
    </row>
    <row r="28" spans="1:15" ht="23.25" customHeight="1" thickBot="1" x14ac:dyDescent="0.3">
      <c r="A28" s="4" t="s">
        <v>9</v>
      </c>
      <c r="B28" s="20">
        <f t="shared" ref="B28:M28" si="19">1359.1*9.7</f>
        <v>13183.269999999999</v>
      </c>
      <c r="C28" s="20">
        <f t="shared" si="19"/>
        <v>13183.269999999999</v>
      </c>
      <c r="D28" s="20">
        <f t="shared" si="19"/>
        <v>13183.269999999999</v>
      </c>
      <c r="E28" s="20">
        <f t="shared" si="19"/>
        <v>13183.269999999999</v>
      </c>
      <c r="F28" s="20">
        <f t="shared" si="19"/>
        <v>13183.269999999999</v>
      </c>
      <c r="G28" s="20">
        <f t="shared" si="19"/>
        <v>13183.269999999999</v>
      </c>
      <c r="H28" s="20">
        <f t="shared" si="19"/>
        <v>13183.269999999999</v>
      </c>
      <c r="I28" s="20">
        <f t="shared" si="19"/>
        <v>13183.269999999999</v>
      </c>
      <c r="J28" s="20">
        <f t="shared" si="19"/>
        <v>13183.269999999999</v>
      </c>
      <c r="K28" s="20">
        <f t="shared" si="19"/>
        <v>13183.269999999999</v>
      </c>
      <c r="L28" s="20">
        <f t="shared" si="19"/>
        <v>13183.269999999999</v>
      </c>
      <c r="M28" s="20">
        <f t="shared" si="19"/>
        <v>13183.269999999999</v>
      </c>
      <c r="N28" s="11">
        <f t="shared" si="17"/>
        <v>158199.24</v>
      </c>
    </row>
    <row r="29" spans="1:15" ht="26.25" customHeight="1" thickBot="1" x14ac:dyDescent="0.3">
      <c r="A29" s="4" t="s">
        <v>19</v>
      </c>
      <c r="B29" s="11">
        <v>0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f t="shared" si="17"/>
        <v>0</v>
      </c>
    </row>
    <row r="30" spans="1:15" ht="26.25" customHeight="1" thickBot="1" x14ac:dyDescent="0.3">
      <c r="A30" s="4" t="s">
        <v>20</v>
      </c>
      <c r="B30" s="11">
        <v>129.24</v>
      </c>
      <c r="C30" s="11">
        <v>129.24</v>
      </c>
      <c r="D30" s="11">
        <v>129.24</v>
      </c>
      <c r="E30" s="11">
        <v>129.24</v>
      </c>
      <c r="F30" s="11">
        <v>129.24</v>
      </c>
      <c r="G30" s="11">
        <v>129.24</v>
      </c>
      <c r="H30" s="11">
        <v>129.24</v>
      </c>
      <c r="I30" s="11">
        <v>129.24</v>
      </c>
      <c r="J30" s="11">
        <v>129.24</v>
      </c>
      <c r="K30" s="11">
        <v>129.24</v>
      </c>
      <c r="L30" s="11">
        <v>129.24</v>
      </c>
      <c r="M30" s="11">
        <v>129.24</v>
      </c>
      <c r="N30" s="11">
        <f t="shared" si="17"/>
        <v>1550.88</v>
      </c>
    </row>
    <row r="31" spans="1:15" ht="26.25" customHeight="1" thickBot="1" x14ac:dyDescent="0.3">
      <c r="A31" s="4" t="s">
        <v>21</v>
      </c>
      <c r="B31" s="11">
        <v>1606.5</v>
      </c>
      <c r="C31" s="11">
        <v>1366.81</v>
      </c>
      <c r="D31" s="11">
        <v>744.61</v>
      </c>
      <c r="E31" s="11">
        <v>1331.11</v>
      </c>
      <c r="F31" s="11">
        <v>729.3</v>
      </c>
      <c r="G31" s="11">
        <v>1637.1</v>
      </c>
      <c r="H31" s="11">
        <v>3401.7</v>
      </c>
      <c r="I31" s="11">
        <v>1234.2</v>
      </c>
      <c r="J31" s="11">
        <v>1754.4</v>
      </c>
      <c r="K31" s="11">
        <v>51</v>
      </c>
      <c r="L31" s="11">
        <v>1417.8</v>
      </c>
      <c r="M31" s="11">
        <v>1009.8</v>
      </c>
      <c r="N31" s="11">
        <f t="shared" si="17"/>
        <v>16284.33</v>
      </c>
    </row>
    <row r="32" spans="1:15" ht="23.25" customHeight="1" thickBot="1" x14ac:dyDescent="0.3">
      <c r="A32" s="4" t="s">
        <v>25</v>
      </c>
      <c r="B32" s="11">
        <v>166.25</v>
      </c>
      <c r="C32" s="11">
        <v>166.25</v>
      </c>
      <c r="D32" s="11">
        <v>166.25</v>
      </c>
      <c r="E32" s="11">
        <v>166.25</v>
      </c>
      <c r="F32" s="11">
        <v>166.25</v>
      </c>
      <c r="G32" s="11">
        <v>166.25</v>
      </c>
      <c r="H32" s="11">
        <v>166.25</v>
      </c>
      <c r="I32" s="11">
        <v>166.25</v>
      </c>
      <c r="J32" s="11">
        <v>166.25</v>
      </c>
      <c r="K32" s="11">
        <v>166.25</v>
      </c>
      <c r="L32" s="11">
        <v>166.25</v>
      </c>
      <c r="M32" s="11">
        <v>166.25</v>
      </c>
      <c r="N32" s="11">
        <f t="shared" si="17"/>
        <v>1995</v>
      </c>
    </row>
    <row r="33" spans="1:14" ht="22.5" customHeight="1" thickBot="1" x14ac:dyDescent="0.3">
      <c r="A33" s="4" t="s">
        <v>6</v>
      </c>
      <c r="B33" s="11">
        <f t="shared" ref="B33:M33" si="20">1359.1*3.35</f>
        <v>4552.9849999999997</v>
      </c>
      <c r="C33" s="11">
        <f t="shared" si="20"/>
        <v>4552.9849999999997</v>
      </c>
      <c r="D33" s="11">
        <f t="shared" si="20"/>
        <v>4552.9849999999997</v>
      </c>
      <c r="E33" s="11">
        <f t="shared" si="20"/>
        <v>4552.9849999999997</v>
      </c>
      <c r="F33" s="11">
        <f t="shared" si="20"/>
        <v>4552.9849999999997</v>
      </c>
      <c r="G33" s="11">
        <f t="shared" si="20"/>
        <v>4552.9849999999997</v>
      </c>
      <c r="H33" s="11">
        <f t="shared" si="20"/>
        <v>4552.9849999999997</v>
      </c>
      <c r="I33" s="11">
        <f t="shared" si="20"/>
        <v>4552.9849999999997</v>
      </c>
      <c r="J33" s="11">
        <f t="shared" si="20"/>
        <v>4552.9849999999997</v>
      </c>
      <c r="K33" s="11">
        <f t="shared" si="20"/>
        <v>4552.9849999999997</v>
      </c>
      <c r="L33" s="11">
        <f t="shared" si="20"/>
        <v>4552.9849999999997</v>
      </c>
      <c r="M33" s="11">
        <f t="shared" si="20"/>
        <v>4552.9849999999997</v>
      </c>
      <c r="N33" s="11">
        <f t="shared" si="17"/>
        <v>54635.82</v>
      </c>
    </row>
    <row r="34" spans="1:14" ht="23.4" customHeight="1" thickBot="1" x14ac:dyDescent="0.3">
      <c r="A34" s="4" t="s">
        <v>41</v>
      </c>
      <c r="B34" s="11">
        <v>1615</v>
      </c>
      <c r="C34" s="11">
        <v>1615</v>
      </c>
      <c r="D34" s="11">
        <v>1700</v>
      </c>
      <c r="E34" s="11">
        <v>1360</v>
      </c>
      <c r="F34" s="11">
        <v>1610</v>
      </c>
      <c r="G34" s="11">
        <v>1610</v>
      </c>
      <c r="H34" s="11">
        <v>1360</v>
      </c>
      <c r="I34" s="11">
        <v>1690</v>
      </c>
      <c r="J34" s="11">
        <v>1430</v>
      </c>
      <c r="K34" s="11">
        <v>154</v>
      </c>
      <c r="L34" s="11">
        <v>1275</v>
      </c>
      <c r="M34" s="11">
        <v>1615</v>
      </c>
      <c r="N34" s="11">
        <f t="shared" si="17"/>
        <v>17034</v>
      </c>
    </row>
    <row r="35" spans="1:14" ht="21.75" customHeight="1" thickBot="1" x14ac:dyDescent="0.3">
      <c r="A35" s="4" t="s">
        <v>24</v>
      </c>
      <c r="B35" s="11">
        <v>900</v>
      </c>
      <c r="C35" s="11">
        <v>900</v>
      </c>
      <c r="D35" s="11">
        <v>900</v>
      </c>
      <c r="E35" s="11">
        <v>900</v>
      </c>
      <c r="F35" s="11">
        <v>900</v>
      </c>
      <c r="G35" s="11">
        <v>900</v>
      </c>
      <c r="H35" s="11">
        <v>900</v>
      </c>
      <c r="I35" s="11">
        <v>900</v>
      </c>
      <c r="J35" s="11">
        <v>900</v>
      </c>
      <c r="K35" s="11">
        <v>900</v>
      </c>
      <c r="L35" s="11">
        <v>900</v>
      </c>
      <c r="M35" s="11">
        <v>900</v>
      </c>
      <c r="N35" s="11">
        <f t="shared" si="17"/>
        <v>10800</v>
      </c>
    </row>
    <row r="36" spans="1:14" ht="24" customHeight="1" thickBot="1" x14ac:dyDescent="0.3">
      <c r="A36" s="4" t="s">
        <v>10</v>
      </c>
      <c r="B36" s="11">
        <f>105+1692.9+45855.6+341.4</f>
        <v>47994.9</v>
      </c>
      <c r="C36" s="11">
        <f>1189.5+436.8</f>
        <v>1626.3</v>
      </c>
      <c r="D36" s="11">
        <f>587.6</f>
        <v>587.6</v>
      </c>
      <c r="E36" s="11">
        <v>0</v>
      </c>
      <c r="F36" s="11">
        <v>0</v>
      </c>
      <c r="G36" s="11">
        <f>150764.94</f>
        <v>150764.94</v>
      </c>
      <c r="H36" s="11">
        <v>0</v>
      </c>
      <c r="I36" s="11">
        <f>2300</f>
        <v>2300</v>
      </c>
      <c r="J36" s="11">
        <f>4392.2</f>
        <v>4392.2</v>
      </c>
      <c r="K36" s="11">
        <f>14301.8</f>
        <v>14301.8</v>
      </c>
      <c r="L36" s="11">
        <v>0</v>
      </c>
      <c r="M36" s="11">
        <v>0</v>
      </c>
      <c r="N36" s="11">
        <f t="shared" si="17"/>
        <v>221967.74</v>
      </c>
    </row>
    <row r="37" spans="1:14" ht="22.5" customHeight="1" thickBot="1" x14ac:dyDescent="0.3">
      <c r="A37" s="9" t="s">
        <v>22</v>
      </c>
      <c r="B37" s="10">
        <f t="shared" ref="B37:M37" si="21">SUM(B24:B36)</f>
        <v>73001.17641</v>
      </c>
      <c r="C37" s="10">
        <f t="shared" si="21"/>
        <v>26532.294379999999</v>
      </c>
      <c r="D37" s="10">
        <f t="shared" si="21"/>
        <v>24847.305839999997</v>
      </c>
      <c r="E37" s="10">
        <f t="shared" si="21"/>
        <v>24440.239279999998</v>
      </c>
      <c r="F37" s="10">
        <f t="shared" si="21"/>
        <v>24099.04854</v>
      </c>
      <c r="G37" s="10">
        <f t="shared" si="21"/>
        <v>175872.37320999999</v>
      </c>
      <c r="H37" s="10">
        <f t="shared" si="21"/>
        <v>26497.905139999999</v>
      </c>
      <c r="I37" s="10">
        <f t="shared" si="21"/>
        <v>27141.661679999997</v>
      </c>
      <c r="J37" s="10">
        <f t="shared" si="21"/>
        <v>29374.86434</v>
      </c>
      <c r="K37" s="10">
        <f t="shared" si="21"/>
        <v>36335.897140000001</v>
      </c>
      <c r="L37" s="10">
        <f t="shared" si="21"/>
        <v>24470.311310000001</v>
      </c>
      <c r="M37" s="10">
        <f t="shared" si="21"/>
        <v>24341.382279999998</v>
      </c>
      <c r="N37" s="10">
        <f>SUM(B37:M37)</f>
        <v>516954.45955000003</v>
      </c>
    </row>
    <row r="38" spans="1:14" ht="23.25" customHeight="1" thickBot="1" x14ac:dyDescent="0.3">
      <c r="A38" s="4" t="s">
        <v>5</v>
      </c>
      <c r="B38" s="18">
        <f t="shared" ref="B38:N38" si="22">B15-B37</f>
        <v>-38771.726410000003</v>
      </c>
      <c r="C38" s="18">
        <f t="shared" si="22"/>
        <v>12082.125619999999</v>
      </c>
      <c r="D38" s="18">
        <f t="shared" si="22"/>
        <v>10314.584160000002</v>
      </c>
      <c r="E38" s="18">
        <f t="shared" si="22"/>
        <v>8999.8007199999956</v>
      </c>
      <c r="F38" s="18">
        <f t="shared" si="22"/>
        <v>9245.3014599999988</v>
      </c>
      <c r="G38" s="18">
        <f t="shared" si="22"/>
        <v>-138713.81320999999</v>
      </c>
      <c r="H38" s="18">
        <f t="shared" si="22"/>
        <v>5827.0648599999986</v>
      </c>
      <c r="I38" s="18">
        <f t="shared" si="22"/>
        <v>9872.3483200000046</v>
      </c>
      <c r="J38" s="18">
        <f t="shared" si="22"/>
        <v>5327.6356599999999</v>
      </c>
      <c r="K38" s="18">
        <f t="shared" si="22"/>
        <v>-1004.4571400000059</v>
      </c>
      <c r="L38" s="18">
        <f t="shared" si="22"/>
        <v>10447.54869</v>
      </c>
      <c r="M38" s="18">
        <f t="shared" si="22"/>
        <v>7497.6377200000024</v>
      </c>
      <c r="N38" s="11">
        <f t="shared" si="22"/>
        <v>-98875.949550000019</v>
      </c>
    </row>
    <row r="39" spans="1:14" ht="23.25" customHeight="1" thickBot="1" x14ac:dyDescent="0.3">
      <c r="A39" s="4" t="s">
        <v>7</v>
      </c>
      <c r="B39" s="14">
        <f t="shared" ref="B39:N39" si="23">B5+B38</f>
        <v>-3807.5864100000035</v>
      </c>
      <c r="C39" s="14">
        <f t="shared" si="23"/>
        <v>8274.5392099999954</v>
      </c>
      <c r="D39" s="14">
        <f t="shared" si="23"/>
        <v>18589.123369999998</v>
      </c>
      <c r="E39" s="14">
        <f t="shared" si="23"/>
        <v>27588.924089999993</v>
      </c>
      <c r="F39" s="14">
        <f t="shared" si="23"/>
        <v>36834.225549999988</v>
      </c>
      <c r="G39" s="14">
        <f t="shared" si="23"/>
        <v>-101879.58766</v>
      </c>
      <c r="H39" s="14">
        <f t="shared" si="23"/>
        <v>-96052.522800000006</v>
      </c>
      <c r="I39" s="14">
        <f t="shared" si="23"/>
        <v>-86180.174480000001</v>
      </c>
      <c r="J39" s="14">
        <f t="shared" si="23"/>
        <v>-80852.538820000002</v>
      </c>
      <c r="K39" s="14">
        <f t="shared" si="23"/>
        <v>-81856.99596</v>
      </c>
      <c r="L39" s="14">
        <f t="shared" si="23"/>
        <v>-71409.447270000004</v>
      </c>
      <c r="M39" s="14">
        <f t="shared" si="23"/>
        <v>-63911.809550000005</v>
      </c>
      <c r="N39" s="14">
        <f t="shared" si="23"/>
        <v>-63911.80955000002</v>
      </c>
    </row>
    <row r="40" spans="1:14" ht="27" customHeight="1" thickBot="1" x14ac:dyDescent="0.3">
      <c r="A40" s="15" t="s">
        <v>11</v>
      </c>
      <c r="B40" s="19">
        <f>B6+B15-B7</f>
        <v>-33883.61</v>
      </c>
      <c r="C40" s="19">
        <f>C6+C15-C7</f>
        <v>-30430.049999999996</v>
      </c>
      <c r="D40" s="19">
        <f>D6+D15-D7</f>
        <v>-30189.339999999997</v>
      </c>
      <c r="E40" s="19">
        <f t="shared" ref="E40:M40" si="24">E6+E15-E7</f>
        <v>-31048.260000000002</v>
      </c>
      <c r="F40" s="19">
        <f t="shared" si="24"/>
        <v>-32589.39</v>
      </c>
      <c r="G40" s="19">
        <f t="shared" si="24"/>
        <v>-29714.499999999993</v>
      </c>
      <c r="H40" s="19">
        <f t="shared" si="24"/>
        <v>-32581.009999999991</v>
      </c>
      <c r="I40" s="19">
        <f t="shared" si="24"/>
        <v>-32523.059999999987</v>
      </c>
      <c r="J40" s="19">
        <f t="shared" si="24"/>
        <v>-32609.139999999981</v>
      </c>
      <c r="K40" s="19">
        <f t="shared" si="24"/>
        <v>-32586.479999999985</v>
      </c>
      <c r="L40" s="19">
        <f t="shared" si="24"/>
        <v>-31273.98999999998</v>
      </c>
      <c r="M40" s="19">
        <f t="shared" si="24"/>
        <v>-34407.129999999976</v>
      </c>
      <c r="N40" s="17">
        <f>N6+N15-N7</f>
        <v>-34407.129999999946</v>
      </c>
    </row>
  </sheetData>
  <mergeCells count="1">
    <mergeCell ref="A1:N1"/>
  </mergeCells>
  <phoneticPr fontId="3" type="noConversion"/>
  <pageMargins left="0.19685039370078741" right="0.19685039370078741" top="0.19685039370078741" bottom="0.19685039370078741" header="0.51181102362204722" footer="0.51181102362204722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2024-03-13T04:22:43Z</cp:lastPrinted>
  <dcterms:created xsi:type="dcterms:W3CDTF">2011-06-06T03:25:48Z</dcterms:created>
  <dcterms:modified xsi:type="dcterms:W3CDTF">2024-03-13T04:24:00Z</dcterms:modified>
</cp:coreProperties>
</file>