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N20" i="1" l="1"/>
  <c r="N12" i="1"/>
  <c r="M38" i="1" l="1"/>
  <c r="N22" i="1" l="1"/>
  <c r="N14" i="1"/>
  <c r="L38" i="1" l="1"/>
  <c r="M35" i="1" l="1"/>
  <c r="L35" i="1" l="1"/>
  <c r="K35" i="1" l="1"/>
  <c r="M29" i="1" l="1"/>
  <c r="K29" i="1"/>
  <c r="K38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L33" i="1" l="1"/>
  <c r="M33" i="1"/>
  <c r="K33" i="1"/>
  <c r="K28" i="1"/>
  <c r="L28" i="1"/>
  <c r="M28" i="1"/>
  <c r="K25" i="1"/>
  <c r="L25" i="1"/>
  <c r="M25" i="1"/>
  <c r="K24" i="1"/>
  <c r="L24" i="1"/>
  <c r="M24" i="1"/>
  <c r="J38" i="1" l="1"/>
  <c r="J29" i="1" l="1"/>
  <c r="I29" i="1"/>
  <c r="H29" i="1"/>
  <c r="I38" i="1" l="1"/>
  <c r="I34" i="1" l="1"/>
  <c r="H33" i="1" l="1"/>
  <c r="I33" i="1"/>
  <c r="J33" i="1"/>
  <c r="J27" i="1" l="1"/>
  <c r="J16" i="1"/>
  <c r="J26" i="1"/>
  <c r="J8" i="1"/>
  <c r="I27" i="1" l="1"/>
  <c r="I16" i="1"/>
  <c r="I26" i="1"/>
  <c r="I8" i="1"/>
  <c r="H38" i="1" l="1"/>
  <c r="H27" i="1" l="1"/>
  <c r="H16" i="1"/>
  <c r="H26" i="1"/>
  <c r="H8" i="1"/>
  <c r="H35" i="1" l="1"/>
  <c r="I35" i="1"/>
  <c r="J35" i="1"/>
  <c r="H28" i="1"/>
  <c r="I28" i="1"/>
  <c r="J28" i="1"/>
  <c r="H25" i="1"/>
  <c r="I25" i="1"/>
  <c r="J25" i="1"/>
  <c r="H24" i="1"/>
  <c r="I24" i="1"/>
  <c r="J24" i="1"/>
  <c r="F38" i="1" l="1"/>
  <c r="G38" i="1" l="1"/>
  <c r="G29" i="1" l="1"/>
  <c r="F29" i="1"/>
  <c r="E38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5" i="1" l="1"/>
  <c r="F35" i="1"/>
  <c r="G35" i="1"/>
  <c r="E33" i="1"/>
  <c r="F33" i="1"/>
  <c r="G33" i="1"/>
  <c r="E28" i="1"/>
  <c r="F28" i="1"/>
  <c r="G28" i="1"/>
  <c r="E25" i="1"/>
  <c r="F25" i="1"/>
  <c r="G25" i="1"/>
  <c r="E24" i="1"/>
  <c r="F24" i="1"/>
  <c r="G24" i="1"/>
  <c r="C29" i="1" l="1"/>
  <c r="B29" i="1"/>
  <c r="C38" i="1" l="1"/>
  <c r="D35" i="1" l="1"/>
  <c r="C35" i="1" l="1"/>
  <c r="D38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B35" i="1" l="1"/>
  <c r="C33" i="1" l="1"/>
  <c r="D33" i="1"/>
  <c r="C28" i="1"/>
  <c r="D28" i="1"/>
  <c r="C25" i="1"/>
  <c r="D25" i="1"/>
  <c r="C24" i="1"/>
  <c r="D24" i="1"/>
  <c r="B33" i="1"/>
  <c r="B28" i="1"/>
  <c r="B25" i="1"/>
  <c r="B24" i="1"/>
  <c r="N38" i="1" l="1"/>
  <c r="N37" i="1" l="1"/>
  <c r="N36" i="1"/>
  <c r="N34" i="1" l="1"/>
  <c r="N6" i="1" l="1"/>
  <c r="N5" i="1"/>
  <c r="M15" i="1" l="1"/>
  <c r="M7" i="1"/>
  <c r="L15" i="1"/>
  <c r="K7" i="1"/>
  <c r="N24" i="1"/>
  <c r="N25" i="1"/>
  <c r="N28" i="1"/>
  <c r="N29" i="1"/>
  <c r="N30" i="1"/>
  <c r="N31" i="1"/>
  <c r="N32" i="1"/>
  <c r="N33" i="1"/>
  <c r="N35" i="1"/>
  <c r="N17" i="1"/>
  <c r="N18" i="1"/>
  <c r="N19" i="1"/>
  <c r="N21" i="1"/>
  <c r="K15" i="1"/>
  <c r="N9" i="1"/>
  <c r="N10" i="1"/>
  <c r="N11" i="1"/>
  <c r="N13" i="1"/>
  <c r="L39" i="1" l="1"/>
  <c r="L40" i="1" s="1"/>
  <c r="K39" i="1"/>
  <c r="K40" i="1" s="1"/>
  <c r="M39" i="1"/>
  <c r="M40" i="1" s="1"/>
  <c r="L7" i="1"/>
  <c r="H15" i="1" l="1"/>
  <c r="I15" i="1"/>
  <c r="J15" i="1"/>
  <c r="I7" i="1"/>
  <c r="J7" i="1"/>
  <c r="J39" i="1" l="1"/>
  <c r="J40" i="1" s="1"/>
  <c r="H39" i="1"/>
  <c r="H7" i="1"/>
  <c r="I39" i="1"/>
  <c r="I40" i="1" s="1"/>
  <c r="H40" i="1" l="1"/>
  <c r="C15" i="1"/>
  <c r="D15" i="1"/>
  <c r="D39" i="1" s="1"/>
  <c r="D40" i="1" s="1"/>
  <c r="C7" i="1"/>
  <c r="D7" i="1"/>
  <c r="G7" i="1" l="1"/>
  <c r="F7" i="1"/>
  <c r="F15" i="1" l="1"/>
  <c r="G15" i="1"/>
  <c r="B15" i="1"/>
  <c r="B39" i="1" s="1"/>
  <c r="B40" i="1" s="1"/>
  <c r="B41" i="1" s="1"/>
  <c r="B7" i="1"/>
  <c r="B42" i="1" s="1"/>
  <c r="G39" i="1" l="1"/>
  <c r="G40" i="1" s="1"/>
  <c r="N26" i="1"/>
  <c r="N16" i="1"/>
  <c r="N27" i="1"/>
  <c r="E15" i="1"/>
  <c r="C6" i="1"/>
  <c r="C42" i="1" s="1"/>
  <c r="N8" i="1"/>
  <c r="E7" i="1"/>
  <c r="N7" i="1" s="1"/>
  <c r="F39" i="1"/>
  <c r="F40" i="1" s="1"/>
  <c r="C39" i="1"/>
  <c r="C40" i="1" s="1"/>
  <c r="N15" i="1" l="1"/>
  <c r="N42" i="1" s="1"/>
  <c r="D6" i="1"/>
  <c r="D42" i="1" s="1"/>
  <c r="E39" i="1"/>
  <c r="E40" i="1" s="1"/>
  <c r="N39" i="1" l="1"/>
  <c r="N40" i="1" s="1"/>
  <c r="N41" i="1" s="1"/>
  <c r="E6" i="1"/>
  <c r="E42" i="1" s="1"/>
  <c r="F6" i="1" s="1"/>
  <c r="F42" i="1" s="1"/>
  <c r="C5" i="1"/>
  <c r="C41" i="1" s="1"/>
  <c r="D5" i="1" l="1"/>
  <c r="D41" i="1" s="1"/>
  <c r="G6" i="1"/>
  <c r="G42" i="1" s="1"/>
  <c r="E5" i="1" l="1"/>
  <c r="E41" i="1" s="1"/>
  <c r="F5" i="1" s="1"/>
  <c r="F41" i="1" s="1"/>
  <c r="H6" i="1"/>
  <c r="H42" i="1" l="1"/>
  <c r="I6" i="1" s="1"/>
  <c r="G5" i="1"/>
  <c r="G41" i="1" s="1"/>
  <c r="I42" i="1" l="1"/>
  <c r="J6" i="1" s="1"/>
  <c r="H5" i="1"/>
  <c r="J42" i="1" l="1"/>
  <c r="K6" i="1" s="1"/>
  <c r="H41" i="1"/>
  <c r="I5" i="1" s="1"/>
  <c r="K42" i="1" l="1"/>
  <c r="L6" i="1" s="1"/>
  <c r="I41" i="1"/>
  <c r="J5" i="1" s="1"/>
  <c r="L42" i="1" l="1"/>
  <c r="M6" i="1" s="1"/>
  <c r="M42" i="1" s="1"/>
  <c r="J41" i="1"/>
  <c r="K5" i="1" s="1"/>
  <c r="K41" i="1" l="1"/>
  <c r="L5" i="1" s="1"/>
  <c r="L41" i="1" l="1"/>
  <c r="M5" i="1" s="1"/>
  <c r="M41" i="1" s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<sst xmlns="http://schemas.openxmlformats.org/spreadsheetml/2006/main" count="53" uniqueCount="45">
  <si>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</si>
  <si>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</si>
  <si>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</si>
  <si>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</si>
  <si>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</si>
  <si>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</si>
  <si>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</si>
  <si>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</si>
  <si>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</si>
  <si>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</si>
  <si>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</si>
  <si>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</si>
  <si>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</si>
  <si>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</si>
  <si>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</si>
  <si>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</si>
  <si>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</si>
  <si>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</si>
  <si>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</si>
  <si>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</si>
  <si>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</si>
  <si>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</si>
  <si>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</si>
  <si>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</si>
  <si>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</si>
  <si>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</si>
  <si>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сточных вод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</si>
  <si>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</si>
  <si>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</si>
  <si>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 xml:space="preserve">Содержание жилья и текущий ремонт,  ОПУ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</si>
  <si>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</si>
  <si>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</si>
  <si>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</si>
  <si>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</si>
  <si>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</si>
  <si>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</si>
  <si>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</si>
  <si>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</si>
  <si>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</si>
  <si>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</si>
  <si>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</si>
  <si>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</si>
  <si>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</si>
  <si>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</si>
  <si>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     ОТЧЕТ по дому Ленинградская, 57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</si>
</sst>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5" fillId="5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10" zoomScale="75" workbookViewId="0">
      <selection activeCell="A22" sqref="A22:XFD22"/>
    </sheetView>
  </sheetViews>
  <sheetFormatPr defaultRowHeight="13.2" x14ac:dyDescent="0.25"/>
  <cols>
    <col min="1" max="1" width="58.6640625" customWidth="1"/>
    <col min="2" max="2" width="15.33203125" customWidth="1"/>
    <col min="3" max="3" width="13.6640625" customWidth="1"/>
    <col min="4" max="4" width="14.5546875" customWidth="1"/>
    <col min="5" max="5" width="15.109375" customWidth="1"/>
    <col min="6" max="6" width="14.6640625" customWidth="1"/>
    <col min="7" max="7" width="15.109375" customWidth="1"/>
    <col min="8" max="8" width="14.5546875" customWidth="1"/>
    <col min="9" max="9" width="14.33203125" customWidth="1"/>
    <col min="10" max="13" width="13.44140625" customWidth="1"/>
    <col min="14" max="14" width="17.6640625" customWidth="1"/>
  </cols>
  <sheetData>
    <row r="1" spans="1:18" ht="20.25" customHeight="1" x14ac:dyDescent="0.35">
      <c r="A1" s="21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4" t="s">
        <v>0</v>
      </c>
      <c r="B4" s="15" t="s">
        <v>30</v>
      </c>
      <c r="C4" s="15" t="s">
        <v>31</v>
      </c>
      <c r="D4" s="15" t="s">
        <v>32</v>
      </c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5" t="s">
        <v>40</v>
      </c>
      <c r="M4" s="15" t="s">
        <v>41</v>
      </c>
      <c r="N4" s="15" t="s">
        <v>42</v>
      </c>
    </row>
    <row r="5" spans="1:18" ht="23.25" customHeight="1" thickBot="1" x14ac:dyDescent="0.3">
      <c r="A5" s="16" t="s">
        <v>15</v>
      </c>
      <c r="B5" s="5">
        <v>-617028.19999999995</v>
      </c>
      <c r="C5" s="5">
        <f t="shared" ref="C5:D6" si="0">B41</f>
        <v>-540650.85317999998</v>
      </c>
      <c r="D5" s="5">
        <f t="shared" si="0"/>
        <v>-486795.43681999994</v>
      </c>
      <c r="E5" s="5">
        <f t="shared" ref="E5:E6" si="1">D41</f>
        <v>-517449.54244999995</v>
      </c>
      <c r="F5" s="5">
        <f>E41</f>
        <v>-517287.51723999996</v>
      </c>
      <c r="G5" s="5">
        <f t="shared" ref="G5:G6" si="2">F41</f>
        <v>-521767.86325999995</v>
      </c>
      <c r="H5" s="5">
        <f t="shared" ref="H5:H6" si="3">G41</f>
        <v>-546000.89121000003</v>
      </c>
      <c r="I5" s="5">
        <f t="shared" ref="I5:I6" si="4">H41</f>
        <v>-516365.19133000006</v>
      </c>
      <c r="J5" s="5">
        <f t="shared" ref="J5:J6" si="5">I41</f>
        <v>-524037.02952000004</v>
      </c>
      <c r="K5" s="5">
        <f t="shared" ref="K5:K6" si="6">J41</f>
        <v>-514216.48477000004</v>
      </c>
      <c r="L5" s="5">
        <f t="shared" ref="L5:L6" si="7">K41</f>
        <v>-501673.61833000003</v>
      </c>
      <c r="M5" s="5">
        <f t="shared" ref="M5:M6" si="8">L41</f>
        <v>-515819.85018000007</v>
      </c>
      <c r="N5" s="5">
        <f>B5</f>
        <v>-617028.19999999995</v>
      </c>
    </row>
    <row r="6" spans="1:18" ht="21" customHeight="1" thickBot="1" x14ac:dyDescent="0.3">
      <c r="A6" s="16" t="s">
        <v>13</v>
      </c>
      <c r="B6" s="5">
        <v>-326047.34000000003</v>
      </c>
      <c r="C6" s="5">
        <f t="shared" si="0"/>
        <v>-269491.33999999997</v>
      </c>
      <c r="D6" s="5">
        <f t="shared" si="0"/>
        <v>-233519.27</v>
      </c>
      <c r="E6" s="5">
        <f t="shared" si="1"/>
        <v>-191003.94999999995</v>
      </c>
      <c r="F6" s="5">
        <f>E42</f>
        <v>-173863.90999999995</v>
      </c>
      <c r="G6" s="5">
        <f t="shared" si="2"/>
        <v>-190961.85999999993</v>
      </c>
      <c r="H6" s="5">
        <f t="shared" si="3"/>
        <v>-195340.18999999992</v>
      </c>
      <c r="I6" s="5">
        <f t="shared" si="4"/>
        <v>-186206.28999999989</v>
      </c>
      <c r="J6" s="5">
        <f t="shared" si="5"/>
        <v>-196996.83999999988</v>
      </c>
      <c r="K6" s="5">
        <f t="shared" si="6"/>
        <v>-199307.45999999985</v>
      </c>
      <c r="L6" s="5">
        <f t="shared" si="7"/>
        <v>-221289.44999999984</v>
      </c>
      <c r="M6" s="5">
        <f t="shared" si="8"/>
        <v>-218240.26999999984</v>
      </c>
      <c r="N6" s="5">
        <f>B6</f>
        <v>-326047.34000000003</v>
      </c>
    </row>
    <row r="7" spans="1:18" ht="20.25" customHeight="1" thickBot="1" x14ac:dyDescent="0.3">
      <c r="A7" s="17" t="s">
        <v>12</v>
      </c>
      <c r="B7" s="6">
        <f>SUM(B8:B14)</f>
        <v>164630.06</v>
      </c>
      <c r="C7" s="6">
        <f>SUM(C8:C14)</f>
        <v>154904.18000000002</v>
      </c>
      <c r="D7" s="6">
        <f>SUM(D8:D14)</f>
        <v>157763.50999999998</v>
      </c>
      <c r="E7" s="6">
        <f>SUM(E8:E14)</f>
        <v>146044.03</v>
      </c>
      <c r="F7" s="6">
        <f>SUM(F8:F14)</f>
        <v>145570.84</v>
      </c>
      <c r="G7" s="6">
        <f>SUM(G8:G14)</f>
        <v>152838.44999999998</v>
      </c>
      <c r="H7" s="6">
        <f>SUM(H8:H14)</f>
        <v>152847.04000000001</v>
      </c>
      <c r="I7" s="6">
        <f>SUM(I8:I14)</f>
        <v>149912.73000000001</v>
      </c>
      <c r="J7" s="6">
        <f>SUM(J8:J14)</f>
        <v>148570.44999999998</v>
      </c>
      <c r="K7" s="6">
        <f>SUM(K8:K14)</f>
        <v>158919.42000000001</v>
      </c>
      <c r="L7" s="6">
        <f>SUM(L8:L14)</f>
        <v>152336.65</v>
      </c>
      <c r="M7" s="6">
        <f>SUM(M8:M14)</f>
        <v>150379.41</v>
      </c>
      <c r="N7" s="6">
        <f>SUM(B7:M7)</f>
        <v>1834716.7699999996</v>
      </c>
    </row>
    <row r="8" spans="1:18" ht="24.75" customHeight="1" thickBot="1" x14ac:dyDescent="0.3">
      <c r="A8" s="4" t="s">
        <v>27</v>
      </c>
      <c r="B8" s="7">
        <f t="shared" ref="B8:G8" si="9">123510.69+1143.26</f>
        <v>124653.95</v>
      </c>
      <c r="C8" s="7">
        <f t="shared" si="9"/>
        <v>124653.95</v>
      </c>
      <c r="D8" s="7">
        <f t="shared" si="9"/>
        <v>124653.95</v>
      </c>
      <c r="E8" s="7">
        <f t="shared" si="9"/>
        <v>124653.95</v>
      </c>
      <c r="F8" s="7">
        <f t="shared" si="9"/>
        <v>124653.95</v>
      </c>
      <c r="G8" s="7">
        <f t="shared" si="9"/>
        <v>124653.95</v>
      </c>
      <c r="H8" s="7">
        <f>123510.69+1143.26</f>
        <v>124653.95</v>
      </c>
      <c r="I8" s="7">
        <f>123510.69+1143.26</f>
        <v>124653.95</v>
      </c>
      <c r="J8" s="7">
        <f>123510.69+1143.26</f>
        <v>124653.95</v>
      </c>
      <c r="K8" s="7">
        <f>129286.19+1143.26</f>
        <v>130429.45</v>
      </c>
      <c r="L8" s="7">
        <f>129286.19+1143.26</f>
        <v>130429.45</v>
      </c>
      <c r="M8" s="7">
        <f>129286.19+1143.26</f>
        <v>130429.45</v>
      </c>
      <c r="N8" s="7">
        <f>SUM(B8:M8)</f>
        <v>1513173.8999999997</v>
      </c>
    </row>
    <row r="9" spans="1:18" ht="24.75" customHeight="1" thickBot="1" x14ac:dyDescent="0.3">
      <c r="A9" s="4" t="s">
        <v>16</v>
      </c>
      <c r="B9" s="7">
        <v>14203.67</v>
      </c>
      <c r="C9" s="7">
        <v>5332.68</v>
      </c>
      <c r="D9" s="7">
        <v>10242.219999999999</v>
      </c>
      <c r="E9" s="7">
        <v>0</v>
      </c>
      <c r="F9" s="7">
        <v>0</v>
      </c>
      <c r="G9" s="7">
        <v>3457.84</v>
      </c>
      <c r="H9" s="7">
        <v>7400.73</v>
      </c>
      <c r="I9" s="7">
        <v>6611.89</v>
      </c>
      <c r="J9" s="7">
        <v>1128.01</v>
      </c>
      <c r="K9" s="7">
        <v>5987.65</v>
      </c>
      <c r="L9" s="7">
        <v>1027.57</v>
      </c>
      <c r="M9" s="7">
        <v>0</v>
      </c>
      <c r="N9" s="7">
        <f t="shared" ref="N9:N14" si="10">SUM(B9:M9)</f>
        <v>55392.26</v>
      </c>
    </row>
    <row r="10" spans="1:18" ht="21.75" customHeight="1" thickBot="1" x14ac:dyDescent="0.3">
      <c r="A10" s="4" t="s">
        <v>17</v>
      </c>
      <c r="B10" s="7">
        <v>530.94000000000005</v>
      </c>
      <c r="C10" s="7">
        <v>530.94000000000005</v>
      </c>
      <c r="D10" s="7">
        <v>530.94000000000005</v>
      </c>
      <c r="E10" s="7">
        <v>530.94000000000005</v>
      </c>
      <c r="F10" s="7">
        <v>530.94000000000005</v>
      </c>
      <c r="G10" s="7">
        <v>530.94000000000005</v>
      </c>
      <c r="H10" s="7">
        <v>530.94000000000005</v>
      </c>
      <c r="I10" s="7">
        <v>530.94000000000005</v>
      </c>
      <c r="J10" s="7">
        <v>530.94000000000005</v>
      </c>
      <c r="K10" s="7">
        <v>530.94000000000005</v>
      </c>
      <c r="L10" s="7">
        <v>530.94000000000005</v>
      </c>
      <c r="M10" s="7">
        <v>530.94000000000005</v>
      </c>
      <c r="N10" s="7">
        <f t="shared" si="10"/>
        <v>6371.2800000000025</v>
      </c>
    </row>
    <row r="11" spans="1:18" ht="22.5" customHeight="1" thickBot="1" x14ac:dyDescent="0.3">
      <c r="A11" s="4" t="s">
        <v>18</v>
      </c>
      <c r="B11" s="7">
        <v>12284.03</v>
      </c>
      <c r="C11" s="7">
        <v>11429.14</v>
      </c>
      <c r="D11" s="7">
        <v>9378.93</v>
      </c>
      <c r="E11" s="7">
        <v>7901.67</v>
      </c>
      <c r="F11" s="7">
        <v>7428.48</v>
      </c>
      <c r="G11" s="7">
        <v>11238.25</v>
      </c>
      <c r="H11" s="7">
        <v>7303.95</v>
      </c>
      <c r="I11" s="7">
        <v>5158.4799999999996</v>
      </c>
      <c r="J11" s="7">
        <v>9300.08</v>
      </c>
      <c r="K11" s="7">
        <v>9013.91</v>
      </c>
      <c r="L11" s="7">
        <v>7391.22</v>
      </c>
      <c r="M11" s="7">
        <v>6461.55</v>
      </c>
      <c r="N11" s="7">
        <f t="shared" si="10"/>
        <v>104289.69</v>
      </c>
    </row>
    <row r="12" spans="1:18" ht="22.5" customHeight="1" thickBot="1" x14ac:dyDescent="0.3">
      <c r="A12" s="4" t="s">
        <v>26</v>
      </c>
      <c r="B12" s="7">
        <v>1024.18</v>
      </c>
      <c r="C12" s="7">
        <v>1024.18</v>
      </c>
      <c r="D12" s="7">
        <v>1024.18</v>
      </c>
      <c r="E12" s="7">
        <v>1024.18</v>
      </c>
      <c r="F12" s="7">
        <v>1024.18</v>
      </c>
      <c r="G12" s="7">
        <v>1024.18</v>
      </c>
      <c r="H12" s="7">
        <v>1024.18</v>
      </c>
      <c r="I12" s="7">
        <v>1024.18</v>
      </c>
      <c r="J12" s="7">
        <v>1024.18</v>
      </c>
      <c r="K12" s="7">
        <v>1024.18</v>
      </c>
      <c r="L12" s="7">
        <v>1024.18</v>
      </c>
      <c r="M12" s="7">
        <v>1024.18</v>
      </c>
      <c r="N12" s="7">
        <f t="shared" ref="N12" si="11">SUM(B12:M12)</f>
        <v>12290.160000000002</v>
      </c>
    </row>
    <row r="13" spans="1:18" ht="22.5" customHeight="1" thickBot="1" x14ac:dyDescent="0.3">
      <c r="A13" s="4" t="s">
        <v>43</v>
      </c>
      <c r="B13" s="7">
        <v>9038.2900000000009</v>
      </c>
      <c r="C13" s="7">
        <v>9038.2900000000009</v>
      </c>
      <c r="D13" s="7">
        <v>9038.2900000000009</v>
      </c>
      <c r="E13" s="7">
        <v>9038.2900000000009</v>
      </c>
      <c r="F13" s="7">
        <v>9038.2900000000009</v>
      </c>
      <c r="G13" s="7">
        <v>9038.2900000000009</v>
      </c>
      <c r="H13" s="7">
        <v>9038.2900000000009</v>
      </c>
      <c r="I13" s="7">
        <v>9038.2900000000009</v>
      </c>
      <c r="J13" s="7">
        <v>9038.2900000000009</v>
      </c>
      <c r="K13" s="7">
        <v>9038.2900000000009</v>
      </c>
      <c r="L13" s="7">
        <v>9038.2900000000009</v>
      </c>
      <c r="M13" s="7">
        <v>9038.2900000000009</v>
      </c>
      <c r="N13" s="7">
        <f t="shared" si="10"/>
        <v>108459.48000000004</v>
      </c>
    </row>
    <row r="14" spans="1:18" ht="24" customHeight="1" thickBot="1" x14ac:dyDescent="0.3">
      <c r="A14" s="4" t="s">
        <v>14</v>
      </c>
      <c r="B14" s="7">
        <v>2895</v>
      </c>
      <c r="C14" s="7">
        <v>2895</v>
      </c>
      <c r="D14" s="7">
        <v>2895</v>
      </c>
      <c r="E14" s="7">
        <v>2895</v>
      </c>
      <c r="F14" s="7">
        <v>2895</v>
      </c>
      <c r="G14" s="7">
        <v>2895</v>
      </c>
      <c r="H14" s="7">
        <v>2895</v>
      </c>
      <c r="I14" s="7">
        <v>2895</v>
      </c>
      <c r="J14" s="7">
        <v>2895</v>
      </c>
      <c r="K14" s="7">
        <v>2895</v>
      </c>
      <c r="L14" s="7">
        <v>2895</v>
      </c>
      <c r="M14" s="7">
        <v>2895</v>
      </c>
      <c r="N14" s="7">
        <f t="shared" si="10"/>
        <v>34740</v>
      </c>
    </row>
    <row r="15" spans="1:18" ht="20.25" customHeight="1" thickBot="1" x14ac:dyDescent="0.3">
      <c r="A15" s="18" t="s">
        <v>8</v>
      </c>
      <c r="B15" s="8">
        <f>SUM(B16:B22)</f>
        <v>221186.06000000003</v>
      </c>
      <c r="C15" s="8">
        <f>SUM(C16:C22)</f>
        <v>190876.25</v>
      </c>
      <c r="D15" s="8">
        <f>SUM(D16:D22)</f>
        <v>200278.83000000002</v>
      </c>
      <c r="E15" s="8">
        <f>SUM(E16:E22)</f>
        <v>163184.07</v>
      </c>
      <c r="F15" s="8">
        <f>SUM(F16:F22)</f>
        <v>128472.89000000001</v>
      </c>
      <c r="G15" s="8">
        <f>SUM(G16:G22)</f>
        <v>148460.12</v>
      </c>
      <c r="H15" s="8">
        <f>SUM(H16:H22)</f>
        <v>161980.94000000003</v>
      </c>
      <c r="I15" s="8">
        <f>SUM(I16:I22)</f>
        <v>139122.18000000002</v>
      </c>
      <c r="J15" s="8">
        <f>SUM(J16:J22)</f>
        <v>146259.83000000002</v>
      </c>
      <c r="K15" s="8">
        <f>SUM(K16:K22)</f>
        <v>136937.43000000002</v>
      </c>
      <c r="L15" s="8">
        <f>SUM(L16:L22)</f>
        <v>155385.82999999999</v>
      </c>
      <c r="M15" s="8">
        <f>SUM(M16:M22)</f>
        <v>160033.67000000004</v>
      </c>
      <c r="N15" s="8">
        <f>SUM(B15:M15)</f>
        <v>1952178.1</v>
      </c>
    </row>
    <row r="16" spans="1:18" ht="24" customHeight="1" thickBot="1" x14ac:dyDescent="0.3">
      <c r="A16" s="4" t="s">
        <v>29</v>
      </c>
      <c r="B16" s="7">
        <f>184894.66+87.92+1648.86</f>
        <v>186631.44</v>
      </c>
      <c r="C16" s="7">
        <f>130135.51+1158.8</f>
        <v>131294.31</v>
      </c>
      <c r="D16" s="7">
        <f>144268+1359.19</f>
        <v>145627.19</v>
      </c>
      <c r="E16" s="7">
        <f>110824.76+1093.55</f>
        <v>111918.31</v>
      </c>
      <c r="F16" s="7">
        <f>109360.55+1101.66</f>
        <v>110462.21</v>
      </c>
      <c r="G16" s="7">
        <f>122223.96-482.57+1146.03+482.57</f>
        <v>123369.99</v>
      </c>
      <c r="H16" s="7">
        <f>133406.48+1206.44+0.03</f>
        <v>134612.95000000001</v>
      </c>
      <c r="I16" s="7">
        <f>114076.96+994.49</f>
        <v>115071.45000000001</v>
      </c>
      <c r="J16" s="7">
        <f>122168.44+1146.84</f>
        <v>123315.28</v>
      </c>
      <c r="K16" s="7">
        <f>115597.32+1054.82</f>
        <v>116652.14000000001</v>
      </c>
      <c r="L16" s="7">
        <f>127722.16+1121.06</f>
        <v>128843.22</v>
      </c>
      <c r="M16" s="7">
        <f>136915.2+1215.39</f>
        <v>138130.59000000003</v>
      </c>
      <c r="N16" s="7">
        <f>SUM(B16:M16)</f>
        <v>1565929.08</v>
      </c>
    </row>
    <row r="17" spans="1:15" ht="26.25" customHeight="1" thickBot="1" x14ac:dyDescent="0.3">
      <c r="A17" s="4" t="s">
        <v>16</v>
      </c>
      <c r="B17" s="7">
        <v>1544.9</v>
      </c>
      <c r="C17" s="7">
        <v>13083.85</v>
      </c>
      <c r="D17" s="7">
        <v>6374.49</v>
      </c>
      <c r="E17" s="7">
        <v>9059.74</v>
      </c>
      <c r="F17" s="7">
        <v>228.27</v>
      </c>
      <c r="G17" s="7">
        <v>270.86</v>
      </c>
      <c r="H17" s="7">
        <v>3785.07</v>
      </c>
      <c r="I17" s="7">
        <v>6679.6</v>
      </c>
      <c r="J17" s="7">
        <v>6505.07</v>
      </c>
      <c r="K17" s="7">
        <v>1344.19</v>
      </c>
      <c r="L17" s="7">
        <v>5664.47</v>
      </c>
      <c r="M17" s="7">
        <v>1487.82</v>
      </c>
      <c r="N17" s="7">
        <f t="shared" ref="N17:N22" si="12">SUM(B17:M17)</f>
        <v>56028.33</v>
      </c>
    </row>
    <row r="18" spans="1:15" ht="26.25" customHeight="1" thickBot="1" x14ac:dyDescent="0.3">
      <c r="A18" s="4" t="s">
        <v>17</v>
      </c>
      <c r="B18" s="7">
        <v>906.7</v>
      </c>
      <c r="C18" s="7">
        <v>560.72</v>
      </c>
      <c r="D18" s="7">
        <v>674.31</v>
      </c>
      <c r="E18" s="7">
        <v>480.96</v>
      </c>
      <c r="F18" s="7">
        <v>472.82</v>
      </c>
      <c r="G18" s="7">
        <v>528.52</v>
      </c>
      <c r="H18" s="7">
        <v>577.14</v>
      </c>
      <c r="I18" s="7">
        <v>492.69</v>
      </c>
      <c r="J18" s="7">
        <v>524.74</v>
      </c>
      <c r="K18" s="7">
        <v>498.57</v>
      </c>
      <c r="L18" s="7">
        <v>527.76</v>
      </c>
      <c r="M18" s="7">
        <v>564.62</v>
      </c>
      <c r="N18" s="7">
        <f t="shared" si="12"/>
        <v>6809.5499999999993</v>
      </c>
    </row>
    <row r="19" spans="1:15" ht="24" customHeight="1" thickBot="1" x14ac:dyDescent="0.3">
      <c r="A19" s="4" t="s">
        <v>18</v>
      </c>
      <c r="B19" s="7">
        <v>11572.03</v>
      </c>
      <c r="C19" s="7">
        <v>12363.47</v>
      </c>
      <c r="D19" s="7">
        <v>12622.26</v>
      </c>
      <c r="E19" s="7">
        <v>8421.16</v>
      </c>
      <c r="F19" s="7">
        <v>7035.75</v>
      </c>
      <c r="G19" s="7">
        <v>7447.47</v>
      </c>
      <c r="H19" s="7">
        <v>11745.77</v>
      </c>
      <c r="I19" s="7">
        <v>6813.3</v>
      </c>
      <c r="J19" s="7">
        <v>5349.4</v>
      </c>
      <c r="K19" s="7">
        <v>8522.1200000000008</v>
      </c>
      <c r="L19" s="7">
        <v>8935.68</v>
      </c>
      <c r="M19" s="7">
        <v>8025.88</v>
      </c>
      <c r="N19" s="7">
        <f t="shared" si="12"/>
        <v>108854.29000000001</v>
      </c>
    </row>
    <row r="20" spans="1:15" ht="24" customHeight="1" thickBot="1" x14ac:dyDescent="0.3">
      <c r="A20" s="4" t="s">
        <v>26</v>
      </c>
      <c r="B20" s="7">
        <v>1422.2</v>
      </c>
      <c r="C20" s="7">
        <v>1064.58</v>
      </c>
      <c r="D20" s="7">
        <v>1175.82</v>
      </c>
      <c r="E20" s="7">
        <v>917.61</v>
      </c>
      <c r="F20" s="7">
        <v>905.37</v>
      </c>
      <c r="G20" s="7">
        <v>1011.45</v>
      </c>
      <c r="H20" s="7">
        <v>1104.1600000000001</v>
      </c>
      <c r="I20" s="7">
        <v>944.48</v>
      </c>
      <c r="J20" s="7">
        <v>1012.21</v>
      </c>
      <c r="K20" s="7">
        <v>957.88</v>
      </c>
      <c r="L20" s="7">
        <v>1013.74</v>
      </c>
      <c r="M20" s="7">
        <v>1089.1199999999999</v>
      </c>
      <c r="N20" s="7">
        <f t="shared" ref="N20" si="13">SUM(B20:M20)</f>
        <v>12618.619999999995</v>
      </c>
    </row>
    <row r="21" spans="1:15" ht="24" customHeight="1" thickBot="1" x14ac:dyDescent="0.3">
      <c r="A21" s="4" t="s">
        <v>43</v>
      </c>
      <c r="B21" s="7">
        <v>18508.79</v>
      </c>
      <c r="C21" s="7">
        <v>9234.32</v>
      </c>
      <c r="D21" s="7">
        <v>11204.76</v>
      </c>
      <c r="E21" s="7">
        <v>7786.29</v>
      </c>
      <c r="F21" s="7">
        <v>7813.47</v>
      </c>
      <c r="G21" s="7">
        <v>9231.83</v>
      </c>
      <c r="H21" s="7">
        <v>9555.85</v>
      </c>
      <c r="I21" s="7">
        <v>7845.66</v>
      </c>
      <c r="J21" s="7">
        <v>8953.1299999999992</v>
      </c>
      <c r="K21" s="7">
        <v>8362.5300000000007</v>
      </c>
      <c r="L21" s="7">
        <v>9125.9599999999991</v>
      </c>
      <c r="M21" s="7">
        <v>9460.64</v>
      </c>
      <c r="N21" s="7">
        <f t="shared" si="12"/>
        <v>117083.23000000003</v>
      </c>
    </row>
    <row r="22" spans="1:15" ht="21" customHeight="1" thickBot="1" x14ac:dyDescent="0.3">
      <c r="A22" s="4" t="s">
        <v>14</v>
      </c>
      <c r="B22" s="9">
        <v>600</v>
      </c>
      <c r="C22" s="9">
        <v>23275</v>
      </c>
      <c r="D22" s="9">
        <v>22600</v>
      </c>
      <c r="E22" s="9">
        <v>24600</v>
      </c>
      <c r="F22" s="9">
        <v>1555</v>
      </c>
      <c r="G22" s="9">
        <v>6600</v>
      </c>
      <c r="H22" s="7">
        <v>600</v>
      </c>
      <c r="I22" s="7">
        <v>1275</v>
      </c>
      <c r="J22" s="7">
        <v>600</v>
      </c>
      <c r="K22" s="7">
        <v>600</v>
      </c>
      <c r="L22" s="7">
        <v>1275</v>
      </c>
      <c r="M22" s="7">
        <v>1275</v>
      </c>
      <c r="N22" s="7">
        <f t="shared" si="12"/>
        <v>84855</v>
      </c>
      <c r="O22" s="3"/>
    </row>
    <row r="23" spans="1:15" ht="21.75" customHeight="1" thickBot="1" x14ac:dyDescent="0.3">
      <c r="A23" s="19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5" ht="19.5" customHeight="1" thickBot="1" x14ac:dyDescent="0.3">
      <c r="A24" s="4" t="s">
        <v>1</v>
      </c>
      <c r="B24" s="7">
        <f>6016.1*0.6</f>
        <v>3609.6600000000003</v>
      </c>
      <c r="C24" s="7">
        <f t="shared" ref="C24:M24" si="14">6016.1*0.6</f>
        <v>3609.6600000000003</v>
      </c>
      <c r="D24" s="7">
        <f t="shared" si="14"/>
        <v>3609.6600000000003</v>
      </c>
      <c r="E24" s="7">
        <f t="shared" si="14"/>
        <v>3609.6600000000003</v>
      </c>
      <c r="F24" s="7">
        <f t="shared" si="14"/>
        <v>3609.6600000000003</v>
      </c>
      <c r="G24" s="7">
        <f t="shared" si="14"/>
        <v>3609.6600000000003</v>
      </c>
      <c r="H24" s="7">
        <f t="shared" si="14"/>
        <v>3609.6600000000003</v>
      </c>
      <c r="I24" s="7">
        <f t="shared" si="14"/>
        <v>3609.6600000000003</v>
      </c>
      <c r="J24" s="7">
        <f t="shared" si="14"/>
        <v>3609.6600000000003</v>
      </c>
      <c r="K24" s="7">
        <f t="shared" si="14"/>
        <v>3609.6600000000003</v>
      </c>
      <c r="L24" s="7">
        <f t="shared" si="14"/>
        <v>3609.6600000000003</v>
      </c>
      <c r="M24" s="7">
        <f t="shared" si="14"/>
        <v>3609.6600000000003</v>
      </c>
      <c r="N24" s="7">
        <f t="shared" ref="N24:N35" si="15">SUM(B24:M24)</f>
        <v>43315.920000000013</v>
      </c>
    </row>
    <row r="25" spans="1:15" ht="22.5" customHeight="1" thickBot="1" x14ac:dyDescent="0.3">
      <c r="A25" s="4" t="s">
        <v>2</v>
      </c>
      <c r="B25" s="7">
        <f t="shared" ref="B25:M25" si="16">6016.1*0.17</f>
        <v>1022.7370000000001</v>
      </c>
      <c r="C25" s="7">
        <f t="shared" si="16"/>
        <v>1022.7370000000001</v>
      </c>
      <c r="D25" s="7">
        <f t="shared" si="16"/>
        <v>1022.7370000000001</v>
      </c>
      <c r="E25" s="7">
        <f t="shared" si="16"/>
        <v>1022.7370000000001</v>
      </c>
      <c r="F25" s="7">
        <f t="shared" si="16"/>
        <v>1022.7370000000001</v>
      </c>
      <c r="G25" s="7">
        <f t="shared" si="16"/>
        <v>1022.7370000000001</v>
      </c>
      <c r="H25" s="7">
        <f t="shared" si="16"/>
        <v>1022.7370000000001</v>
      </c>
      <c r="I25" s="7">
        <f t="shared" si="16"/>
        <v>1022.7370000000001</v>
      </c>
      <c r="J25" s="7">
        <f t="shared" si="16"/>
        <v>1022.7370000000001</v>
      </c>
      <c r="K25" s="7">
        <f t="shared" si="16"/>
        <v>1022.7370000000001</v>
      </c>
      <c r="L25" s="7">
        <f t="shared" si="16"/>
        <v>1022.7370000000001</v>
      </c>
      <c r="M25" s="7">
        <f t="shared" si="16"/>
        <v>1022.7370000000001</v>
      </c>
      <c r="N25" s="7">
        <f t="shared" si="15"/>
        <v>12272.844000000005</v>
      </c>
    </row>
    <row r="26" spans="1:15" ht="21" customHeight="1" thickBot="1" x14ac:dyDescent="0.3">
      <c r="A26" s="4" t="s">
        <v>3</v>
      </c>
      <c r="B26" s="7">
        <f>161735.06*2.3%</f>
        <v>3719.9063799999999</v>
      </c>
      <c r="C26" s="7">
        <f>152009.18*2.3%</f>
        <v>3496.2111399999999</v>
      </c>
      <c r="D26" s="7">
        <f>154868.51*2.3%</f>
        <v>3561.9757300000001</v>
      </c>
      <c r="E26" s="7">
        <f>143149.03*2.3%</f>
        <v>3292.42769</v>
      </c>
      <c r="F26" s="7">
        <f>142675.84*2.3%</f>
        <v>3281.54432</v>
      </c>
      <c r="G26" s="7">
        <f>149943.45*2.3%</f>
        <v>3448.6993500000003</v>
      </c>
      <c r="H26" s="7">
        <f>149952.04*2.3%</f>
        <v>3448.8969200000001</v>
      </c>
      <c r="I26" s="7">
        <f>147017.73*2.3%</f>
        <v>3381.4077900000002</v>
      </c>
      <c r="J26" s="7">
        <f>145675.45*2.3%</f>
        <v>3350.5353500000001</v>
      </c>
      <c r="K26" s="7">
        <f>156024.42*2.3%</f>
        <v>3588.5616600000003</v>
      </c>
      <c r="L26" s="7">
        <f>149441.65*2.3%</f>
        <v>3437.1579499999998</v>
      </c>
      <c r="M26" s="7">
        <f>147484.41*2.3%</f>
        <v>3392.1414300000001</v>
      </c>
      <c r="N26" s="7">
        <f t="shared" si="15"/>
        <v>41399.465710000004</v>
      </c>
    </row>
    <row r="27" spans="1:15" ht="23.25" customHeight="1" thickBot="1" x14ac:dyDescent="0.3">
      <c r="A27" s="4" t="s">
        <v>4</v>
      </c>
      <c r="B27" s="7">
        <f>220586.06*3%</f>
        <v>6617.5817999999999</v>
      </c>
      <c r="C27" s="7">
        <f>167601.25*3%</f>
        <v>5028.0374999999995</v>
      </c>
      <c r="D27" s="7">
        <f>177678.83*3%</f>
        <v>5330.3648999999996</v>
      </c>
      <c r="E27" s="7">
        <f>138584.07*3%</f>
        <v>4157.5221000000001</v>
      </c>
      <c r="F27" s="7">
        <f>126917.89*3%</f>
        <v>3807.5366999999997</v>
      </c>
      <c r="G27" s="7">
        <f>141860.12*3%</f>
        <v>4255.8035999999993</v>
      </c>
      <c r="H27" s="7">
        <f>161380.94*3%</f>
        <v>4841.4282000000003</v>
      </c>
      <c r="I27" s="7">
        <f>137847.18*3%</f>
        <v>4135.4153999999999</v>
      </c>
      <c r="J27" s="7">
        <f>145659.83*3%</f>
        <v>4369.7948999999999</v>
      </c>
      <c r="K27" s="7">
        <f>136337.43*3%</f>
        <v>4090.1228999999998</v>
      </c>
      <c r="L27" s="7">
        <f>154110.83*3%</f>
        <v>4623.3248999999996</v>
      </c>
      <c r="M27" s="7">
        <f>158758.67*3%</f>
        <v>4762.7601000000004</v>
      </c>
      <c r="N27" s="7">
        <f t="shared" si="15"/>
        <v>56019.692999999999</v>
      </c>
    </row>
    <row r="28" spans="1:15" ht="23.25" customHeight="1" thickBot="1" x14ac:dyDescent="0.3">
      <c r="A28" s="4" t="s">
        <v>9</v>
      </c>
      <c r="B28" s="7">
        <f t="shared" ref="B28:M28" si="17">6016.1*8.5</f>
        <v>51136.850000000006</v>
      </c>
      <c r="C28" s="7">
        <f t="shared" si="17"/>
        <v>51136.850000000006</v>
      </c>
      <c r="D28" s="7">
        <f t="shared" si="17"/>
        <v>51136.850000000006</v>
      </c>
      <c r="E28" s="7">
        <f t="shared" si="17"/>
        <v>51136.850000000006</v>
      </c>
      <c r="F28" s="7">
        <f t="shared" si="17"/>
        <v>51136.850000000006</v>
      </c>
      <c r="G28" s="7">
        <f t="shared" si="17"/>
        <v>51136.850000000006</v>
      </c>
      <c r="H28" s="7">
        <f t="shared" si="17"/>
        <v>51136.850000000006</v>
      </c>
      <c r="I28" s="7">
        <f t="shared" si="17"/>
        <v>51136.850000000006</v>
      </c>
      <c r="J28" s="7">
        <f t="shared" si="17"/>
        <v>51136.850000000006</v>
      </c>
      <c r="K28" s="7">
        <f t="shared" si="17"/>
        <v>51136.850000000006</v>
      </c>
      <c r="L28" s="7">
        <f t="shared" si="17"/>
        <v>51136.850000000006</v>
      </c>
      <c r="M28" s="7">
        <f t="shared" si="17"/>
        <v>51136.850000000006</v>
      </c>
      <c r="N28" s="7">
        <f t="shared" si="15"/>
        <v>613642.19999999995</v>
      </c>
    </row>
    <row r="29" spans="1:15" ht="26.25" customHeight="1" thickBot="1" x14ac:dyDescent="0.3">
      <c r="A29" s="4" t="s">
        <v>19</v>
      </c>
      <c r="B29" s="7">
        <f>5332.78+0</f>
        <v>5332.78</v>
      </c>
      <c r="C29" s="7">
        <f>9617.03+625.21</f>
        <v>10242.240000000002</v>
      </c>
      <c r="D29" s="7">
        <v>0</v>
      </c>
      <c r="E29" s="7">
        <v>0</v>
      </c>
      <c r="F29" s="7">
        <f>3325.41+132.45</f>
        <v>3457.8599999999997</v>
      </c>
      <c r="G29" s="7">
        <f>6621.3+779.45</f>
        <v>7400.75</v>
      </c>
      <c r="H29" s="7">
        <f>5915.32+696.35</f>
        <v>6611.67</v>
      </c>
      <c r="I29" s="7">
        <f>1009.23+118.82</f>
        <v>1128.05</v>
      </c>
      <c r="J29" s="7">
        <f>5356.98+630.63</f>
        <v>5987.61</v>
      </c>
      <c r="K29" s="7">
        <f>919.32+108.21</f>
        <v>1027.53</v>
      </c>
      <c r="L29" s="7">
        <v>0</v>
      </c>
      <c r="M29" s="7">
        <f>27384.32+3223.67</f>
        <v>30607.989999999998</v>
      </c>
      <c r="N29" s="7">
        <f t="shared" si="15"/>
        <v>71796.48000000001</v>
      </c>
    </row>
    <row r="30" spans="1:15" ht="26.25" customHeight="1" thickBot="1" x14ac:dyDescent="0.3">
      <c r="A30" s="4" t="s">
        <v>20</v>
      </c>
      <c r="B30" s="7">
        <v>796.33</v>
      </c>
      <c r="C30" s="7">
        <v>796.33</v>
      </c>
      <c r="D30" s="7">
        <v>796.33</v>
      </c>
      <c r="E30" s="7">
        <v>796.33</v>
      </c>
      <c r="F30" s="7">
        <v>796.33</v>
      </c>
      <c r="G30" s="7">
        <v>796.33</v>
      </c>
      <c r="H30" s="7">
        <v>796.33</v>
      </c>
      <c r="I30" s="7">
        <v>796.33</v>
      </c>
      <c r="J30" s="7">
        <v>796.33</v>
      </c>
      <c r="K30" s="7">
        <v>796.33</v>
      </c>
      <c r="L30" s="7">
        <v>796.33</v>
      </c>
      <c r="M30" s="7">
        <v>796.33</v>
      </c>
      <c r="N30" s="7">
        <f t="shared" si="15"/>
        <v>9555.9600000000009</v>
      </c>
    </row>
    <row r="31" spans="1:15" ht="26.25" customHeight="1" thickBot="1" x14ac:dyDescent="0.3">
      <c r="A31" s="4" t="s">
        <v>21</v>
      </c>
      <c r="B31" s="7">
        <v>12354.55</v>
      </c>
      <c r="C31" s="7">
        <v>10171.65</v>
      </c>
      <c r="D31" s="7">
        <v>8706.7000000000007</v>
      </c>
      <c r="E31" s="7">
        <v>7428.5</v>
      </c>
      <c r="F31" s="7">
        <v>11238.2</v>
      </c>
      <c r="G31" s="7">
        <v>7304</v>
      </c>
      <c r="H31" s="7">
        <v>5764.35</v>
      </c>
      <c r="I31" s="7">
        <v>9300.15</v>
      </c>
      <c r="J31" s="7">
        <v>9432.9500000000007</v>
      </c>
      <c r="K31" s="7">
        <v>7752.2</v>
      </c>
      <c r="L31" s="7">
        <v>7046.7</v>
      </c>
      <c r="M31" s="7">
        <v>9237.9</v>
      </c>
      <c r="N31" s="7">
        <f t="shared" si="15"/>
        <v>105737.84999999998</v>
      </c>
    </row>
    <row r="32" spans="1:15" ht="26.25" customHeight="1" thickBot="1" x14ac:dyDescent="0.3">
      <c r="A32" s="4" t="s">
        <v>26</v>
      </c>
      <c r="B32" s="7">
        <v>1024.4000000000001</v>
      </c>
      <c r="C32" s="7">
        <v>1024.4000000000001</v>
      </c>
      <c r="D32" s="7">
        <v>1024.4000000000001</v>
      </c>
      <c r="E32" s="7">
        <v>1024.4000000000001</v>
      </c>
      <c r="F32" s="7">
        <v>1024.4000000000001</v>
      </c>
      <c r="G32" s="7">
        <v>1024.4000000000001</v>
      </c>
      <c r="H32" s="7">
        <v>1024.4000000000001</v>
      </c>
      <c r="I32" s="7">
        <v>1024.4000000000001</v>
      </c>
      <c r="J32" s="7">
        <v>1024.4000000000001</v>
      </c>
      <c r="K32" s="7">
        <v>1024.4000000000001</v>
      </c>
      <c r="L32" s="7">
        <v>1024.4000000000001</v>
      </c>
      <c r="M32" s="7">
        <v>1024.4000000000001</v>
      </c>
      <c r="N32" s="7">
        <f t="shared" si="15"/>
        <v>12292.799999999997</v>
      </c>
    </row>
    <row r="33" spans="1:14" ht="22.5" customHeight="1" thickBot="1" x14ac:dyDescent="0.3">
      <c r="A33" s="4" t="s">
        <v>6</v>
      </c>
      <c r="B33" s="20">
        <f t="shared" ref="B33:J33" si="18">6016.1*3.08</f>
        <v>18529.588</v>
      </c>
      <c r="C33" s="20">
        <f t="shared" si="18"/>
        <v>18529.588</v>
      </c>
      <c r="D33" s="20">
        <f t="shared" si="18"/>
        <v>18529.588</v>
      </c>
      <c r="E33" s="20">
        <f t="shared" si="18"/>
        <v>18529.588</v>
      </c>
      <c r="F33" s="20">
        <f t="shared" si="18"/>
        <v>18529.588</v>
      </c>
      <c r="G33" s="20">
        <f t="shared" si="18"/>
        <v>18529.588</v>
      </c>
      <c r="H33" s="20">
        <f t="shared" si="18"/>
        <v>18529.588</v>
      </c>
      <c r="I33" s="20">
        <f t="shared" si="18"/>
        <v>18529.588</v>
      </c>
      <c r="J33" s="20">
        <f t="shared" si="18"/>
        <v>18529.588</v>
      </c>
      <c r="K33" s="20">
        <f>6016.1*3.22</f>
        <v>19371.842000000001</v>
      </c>
      <c r="L33" s="20">
        <f t="shared" ref="L33:M33" si="19">6016.1*3.22</f>
        <v>19371.842000000001</v>
      </c>
      <c r="M33" s="20">
        <f t="shared" si="19"/>
        <v>19371.842000000001</v>
      </c>
      <c r="N33" s="7">
        <f t="shared" si="15"/>
        <v>224881.818</v>
      </c>
    </row>
    <row r="34" spans="1:14" ht="22.2" customHeight="1" thickBot="1" x14ac:dyDescent="0.3">
      <c r="A34" s="4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f>3615*3</f>
        <v>10845</v>
      </c>
      <c r="J34" s="7">
        <v>0</v>
      </c>
      <c r="K34" s="7">
        <v>0</v>
      </c>
      <c r="L34" s="7">
        <v>0</v>
      </c>
      <c r="M34" s="7">
        <v>0</v>
      </c>
      <c r="N34" s="7">
        <f t="shared" si="15"/>
        <v>10845</v>
      </c>
    </row>
    <row r="35" spans="1:14" ht="24.75" customHeight="1" thickBot="1" x14ac:dyDescent="0.3">
      <c r="A35" s="4" t="s">
        <v>25</v>
      </c>
      <c r="B35" s="7">
        <f>7398.11*3</f>
        <v>22194.329999999998</v>
      </c>
      <c r="C35" s="7">
        <f>7398.11*3</f>
        <v>22194.329999999998</v>
      </c>
      <c r="D35" s="7">
        <f>7398.11*3</f>
        <v>22194.329999999998</v>
      </c>
      <c r="E35" s="7">
        <f t="shared" ref="E35:J35" si="20">7398.11*3</f>
        <v>22194.329999999998</v>
      </c>
      <c r="F35" s="7">
        <f t="shared" si="20"/>
        <v>22194.329999999998</v>
      </c>
      <c r="G35" s="7">
        <f t="shared" si="20"/>
        <v>22194.329999999998</v>
      </c>
      <c r="H35" s="7">
        <f t="shared" si="20"/>
        <v>22194.329999999998</v>
      </c>
      <c r="I35" s="7">
        <f t="shared" si="20"/>
        <v>22194.329999999998</v>
      </c>
      <c r="J35" s="7">
        <f t="shared" si="20"/>
        <v>22194.329999999998</v>
      </c>
      <c r="K35" s="7">
        <f>7398.11*3</f>
        <v>22194.329999999998</v>
      </c>
      <c r="L35" s="7">
        <f>7398.11*3</f>
        <v>22194.329999999998</v>
      </c>
      <c r="M35" s="7">
        <f>7398.11*3</f>
        <v>22194.329999999998</v>
      </c>
      <c r="N35" s="7">
        <f t="shared" si="15"/>
        <v>266331.9599999999</v>
      </c>
    </row>
    <row r="36" spans="1:14" ht="21.75" customHeight="1" thickBot="1" x14ac:dyDescent="0.3">
      <c r="A36" s="4" t="s">
        <v>43</v>
      </c>
      <c r="B36" s="7">
        <v>17795</v>
      </c>
      <c r="C36" s="7">
        <v>8585</v>
      </c>
      <c r="D36" s="7">
        <v>10845</v>
      </c>
      <c r="E36" s="7">
        <v>7295</v>
      </c>
      <c r="F36" s="7">
        <v>7315</v>
      </c>
      <c r="G36" s="7">
        <v>8670</v>
      </c>
      <c r="H36" s="7">
        <v>9190</v>
      </c>
      <c r="I36" s="7">
        <v>7440</v>
      </c>
      <c r="J36" s="7">
        <v>8320</v>
      </c>
      <c r="K36" s="7">
        <v>8000</v>
      </c>
      <c r="L36" s="7">
        <v>8640</v>
      </c>
      <c r="M36" s="7">
        <v>9040</v>
      </c>
      <c r="N36" s="7">
        <f t="shared" ref="N36:N38" si="21">SUM(B36:M36)</f>
        <v>111135</v>
      </c>
    </row>
    <row r="37" spans="1:14" ht="21.6" customHeight="1" thickBot="1" x14ac:dyDescent="0.3">
      <c r="A37" s="4" t="s">
        <v>24</v>
      </c>
      <c r="B37" s="7">
        <v>675</v>
      </c>
      <c r="C37" s="7">
        <v>675</v>
      </c>
      <c r="D37" s="7">
        <v>675</v>
      </c>
      <c r="E37" s="7">
        <v>675</v>
      </c>
      <c r="F37" s="7">
        <v>675</v>
      </c>
      <c r="G37" s="7">
        <v>675</v>
      </c>
      <c r="H37" s="7">
        <v>675</v>
      </c>
      <c r="I37" s="7">
        <v>675</v>
      </c>
      <c r="J37" s="7">
        <v>675</v>
      </c>
      <c r="K37" s="7">
        <v>675</v>
      </c>
      <c r="L37" s="7">
        <v>675</v>
      </c>
      <c r="M37" s="7">
        <v>675</v>
      </c>
      <c r="N37" s="7">
        <f t="shared" si="21"/>
        <v>8100</v>
      </c>
    </row>
    <row r="38" spans="1:14" ht="24" customHeight="1" thickBot="1" x14ac:dyDescent="0.3">
      <c r="A38" s="4" t="s">
        <v>10</v>
      </c>
      <c r="B38" s="7">
        <v>0</v>
      </c>
      <c r="C38" s="7">
        <f>105+134.6*3</f>
        <v>508.79999999999995</v>
      </c>
      <c r="D38" s="7">
        <f>1500+102000</f>
        <v>103500</v>
      </c>
      <c r="E38" s="7">
        <f>1335.7+40524</f>
        <v>41859.699999999997</v>
      </c>
      <c r="F38" s="7">
        <f>4407.9+456.3</f>
        <v>4864.2</v>
      </c>
      <c r="G38" s="7">
        <f>42625</f>
        <v>42625</v>
      </c>
      <c r="H38" s="7">
        <f>3500</f>
        <v>3500</v>
      </c>
      <c r="I38" s="7">
        <f>7177.2+3000+1292.9+105</f>
        <v>11575.1</v>
      </c>
      <c r="J38" s="7">
        <f>3500+1257.5+1232</f>
        <v>5989.5</v>
      </c>
      <c r="K38" s="7">
        <f>105</f>
        <v>105</v>
      </c>
      <c r="L38" s="7">
        <f>36720+105+1558.9+7569.83</f>
        <v>45953.73</v>
      </c>
      <c r="M38" s="7">
        <f>1713.5+105+2145.6</f>
        <v>3964.1</v>
      </c>
      <c r="N38" s="7">
        <f t="shared" si="21"/>
        <v>264445.13</v>
      </c>
    </row>
    <row r="39" spans="1:14" ht="22.5" customHeight="1" thickBot="1" x14ac:dyDescent="0.3">
      <c r="A39" s="17" t="s">
        <v>22</v>
      </c>
      <c r="B39" s="6">
        <f t="shared" ref="B39:M39" si="22">SUM(B24:B38)</f>
        <v>144808.71318000002</v>
      </c>
      <c r="C39" s="6">
        <f t="shared" si="22"/>
        <v>137020.83364</v>
      </c>
      <c r="D39" s="6">
        <f t="shared" si="22"/>
        <v>230932.93563000002</v>
      </c>
      <c r="E39" s="6">
        <f t="shared" si="22"/>
        <v>163022.04479000001</v>
      </c>
      <c r="F39" s="6">
        <f t="shared" si="22"/>
        <v>132953.23602000001</v>
      </c>
      <c r="G39" s="6">
        <f t="shared" si="22"/>
        <v>172693.14795000001</v>
      </c>
      <c r="H39" s="6">
        <f t="shared" si="22"/>
        <v>132345.24012000003</v>
      </c>
      <c r="I39" s="6">
        <f t="shared" si="22"/>
        <v>146794.01819</v>
      </c>
      <c r="J39" s="6">
        <f t="shared" si="22"/>
        <v>136439.28525000002</v>
      </c>
      <c r="K39" s="6">
        <f t="shared" si="22"/>
        <v>124394.56356000001</v>
      </c>
      <c r="L39" s="6">
        <f t="shared" si="22"/>
        <v>169532.06185</v>
      </c>
      <c r="M39" s="6">
        <f t="shared" si="22"/>
        <v>160836.04053</v>
      </c>
      <c r="N39" s="6">
        <f>SUM(B39:M39)</f>
        <v>1851772.1207099999</v>
      </c>
    </row>
    <row r="40" spans="1:14" ht="23.25" customHeight="1" thickBot="1" x14ac:dyDescent="0.3">
      <c r="A40" s="4" t="s">
        <v>5</v>
      </c>
      <c r="B40" s="12">
        <f>B15-B39</f>
        <v>76377.346820000006</v>
      </c>
      <c r="C40" s="12">
        <f>C15-C39</f>
        <v>53855.416360000003</v>
      </c>
      <c r="D40" s="12">
        <f>D15-D39</f>
        <v>-30654.105630000005</v>
      </c>
      <c r="E40" s="12">
        <f>E15-E39</f>
        <v>162.02520999999251</v>
      </c>
      <c r="F40" s="12">
        <f>F15-F39</f>
        <v>-4480.3460199999972</v>
      </c>
      <c r="G40" s="12">
        <f>G15-G39</f>
        <v>-24233.027950000018</v>
      </c>
      <c r="H40" s="12">
        <f>H15-H39</f>
        <v>29635.69988</v>
      </c>
      <c r="I40" s="12">
        <f>I15-I39</f>
        <v>-7671.8381899999804</v>
      </c>
      <c r="J40" s="12">
        <f>J15-J39</f>
        <v>9820.5447500000009</v>
      </c>
      <c r="K40" s="12">
        <f>K15-K39</f>
        <v>12542.866440000013</v>
      </c>
      <c r="L40" s="12">
        <f>L15-L39</f>
        <v>-14146.231850000011</v>
      </c>
      <c r="M40" s="12">
        <f>M15-M39</f>
        <v>-802.37052999995649</v>
      </c>
      <c r="N40" s="7">
        <f>N15-N39</f>
        <v>100405.97929000016</v>
      </c>
    </row>
    <row r="41" spans="1:14" ht="23.25" customHeight="1" thickBot="1" x14ac:dyDescent="0.3">
      <c r="A41" s="4" t="s">
        <v>7</v>
      </c>
      <c r="B41" s="9">
        <f>B5+B40</f>
        <v>-540650.85317999998</v>
      </c>
      <c r="C41" s="9">
        <f>C5+C40</f>
        <v>-486795.43681999994</v>
      </c>
      <c r="D41" s="9">
        <f>D5+D40</f>
        <v>-517449.54244999995</v>
      </c>
      <c r="E41" s="9">
        <f>E5+E40</f>
        <v>-517287.51723999996</v>
      </c>
      <c r="F41" s="9">
        <f>F5+F40</f>
        <v>-521767.86325999995</v>
      </c>
      <c r="G41" s="9">
        <f>G5+G40</f>
        <v>-546000.89121000003</v>
      </c>
      <c r="H41" s="9">
        <f>H5+H40</f>
        <v>-516365.19133000006</v>
      </c>
      <c r="I41" s="9">
        <f>I5+I40</f>
        <v>-524037.02952000004</v>
      </c>
      <c r="J41" s="9">
        <f>J5+J40</f>
        <v>-514216.48477000004</v>
      </c>
      <c r="K41" s="9">
        <f>K5+K40</f>
        <v>-501673.61833000003</v>
      </c>
      <c r="L41" s="9">
        <f>L5+L40</f>
        <v>-515819.85018000007</v>
      </c>
      <c r="M41" s="9">
        <f>M5+M40</f>
        <v>-516622.22071000002</v>
      </c>
      <c r="N41" s="9">
        <f>N5+N40</f>
        <v>-516622.22070999979</v>
      </c>
    </row>
    <row r="42" spans="1:14" ht="27" customHeight="1" thickBot="1" x14ac:dyDescent="0.3">
      <c r="A42" s="19" t="s">
        <v>11</v>
      </c>
      <c r="B42" s="13">
        <f>B6+B15-B7</f>
        <v>-269491.33999999997</v>
      </c>
      <c r="C42" s="13">
        <f>C6+C15-C7</f>
        <v>-233519.27</v>
      </c>
      <c r="D42" s="13">
        <f>D6+D15-D7</f>
        <v>-191003.94999999995</v>
      </c>
      <c r="E42" s="13">
        <f>E6+E15-E7</f>
        <v>-173863.90999999995</v>
      </c>
      <c r="F42" s="13">
        <f>F6+F15-F7</f>
        <v>-190961.85999999993</v>
      </c>
      <c r="G42" s="13">
        <f>G6+G15-G7</f>
        <v>-195340.18999999992</v>
      </c>
      <c r="H42" s="13">
        <f>H6+H15-H7</f>
        <v>-186206.28999999989</v>
      </c>
      <c r="I42" s="13">
        <f>I6+I15-I7</f>
        <v>-196996.83999999988</v>
      </c>
      <c r="J42" s="13">
        <f>J6+J15-J7</f>
        <v>-199307.45999999985</v>
      </c>
      <c r="K42" s="13">
        <f>K6+K15-K7</f>
        <v>-221289.44999999984</v>
      </c>
      <c r="L42" s="13">
        <f>L6+L15-L7</f>
        <v>-218240.26999999984</v>
      </c>
      <c r="M42" s="13">
        <f>M6+M15-M7</f>
        <v>-208586.00999999981</v>
      </c>
      <c r="N42" s="13">
        <f>N6+N15-N7</f>
        <v>-208586.00999999954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2024-03-01T05:19:30Z</cp:lastPrinted>
  <dcterms:created xsi:type="dcterms:W3CDTF">2011-06-06T03:25:48Z</dcterms:created>
  <dcterms:modified xsi:type="dcterms:W3CDTF">2024-03-01T05:27:47Z</dcterms:modified>
</cp:coreProperties>
</file>