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18" i="1" l="1"/>
  <c r="M21" i="1"/>
  <c r="M10" i="1"/>
  <c r="M13" i="1"/>
  <c r="M17" i="1"/>
  <c r="M9" i="1"/>
  <c r="L18" i="1"/>
  <c r="L21" i="1"/>
  <c r="L10" i="1"/>
  <c r="L13" i="1"/>
  <c r="L17" i="1"/>
  <c r="L9" i="1"/>
  <c r="K18" i="1"/>
  <c r="K21" i="1"/>
  <c r="K10" i="1"/>
  <c r="K13" i="1"/>
  <c r="K17" i="1"/>
  <c r="K9" i="1"/>
  <c r="M34" i="1" l="1"/>
  <c r="L34" i="1" l="1"/>
  <c r="K34" i="1" l="1"/>
  <c r="M36" i="1" l="1"/>
  <c r="M29" i="1" l="1"/>
  <c r="L29" i="1"/>
  <c r="K29" i="1"/>
  <c r="L36" i="1" l="1"/>
  <c r="M27" i="1" l="1"/>
  <c r="M16" i="1"/>
  <c r="M26" i="1"/>
  <c r="M8" i="1"/>
  <c r="K36" i="1" l="1"/>
  <c r="L27" i="1" l="1"/>
  <c r="L16" i="1"/>
  <c r="L26" i="1"/>
  <c r="L8" i="1"/>
  <c r="K27" i="1" l="1"/>
  <c r="K16" i="1"/>
  <c r="K26" i="1"/>
  <c r="K8" i="1"/>
  <c r="L33" i="1" l="1"/>
  <c r="M33" i="1"/>
  <c r="K33" i="1"/>
  <c r="K28" i="1"/>
  <c r="L28" i="1"/>
  <c r="M28" i="1"/>
  <c r="K25" i="1"/>
  <c r="L25" i="1"/>
  <c r="M25" i="1"/>
  <c r="M24" i="1"/>
  <c r="L24" i="1"/>
  <c r="K24" i="1"/>
  <c r="J21" i="1" l="1"/>
  <c r="J10" i="1"/>
  <c r="J13" i="1"/>
  <c r="J17" i="1"/>
  <c r="J9" i="1"/>
  <c r="I18" i="1"/>
  <c r="I21" i="1"/>
  <c r="I13" i="1"/>
  <c r="I17" i="1"/>
  <c r="I9" i="1"/>
  <c r="H18" i="1"/>
  <c r="H21" i="1"/>
  <c r="H13" i="1"/>
  <c r="H9" i="1"/>
  <c r="J36" i="1" l="1"/>
  <c r="H36" i="1" l="1"/>
  <c r="J29" i="1" l="1"/>
  <c r="I29" i="1"/>
  <c r="I36" i="1" l="1"/>
  <c r="I28" i="1" l="1"/>
  <c r="J28" i="1"/>
  <c r="H28" i="1"/>
  <c r="H35" i="1" l="1"/>
  <c r="J27" i="1" l="1"/>
  <c r="J16" i="1"/>
  <c r="J26" i="1"/>
  <c r="J8" i="1"/>
  <c r="H25" i="1"/>
  <c r="I25" i="1"/>
  <c r="J25" i="1"/>
  <c r="H24" i="1"/>
  <c r="I24" i="1"/>
  <c r="J24" i="1"/>
  <c r="H33" i="1"/>
  <c r="I33" i="1"/>
  <c r="J33" i="1"/>
  <c r="C25" i="1"/>
  <c r="D25" i="1"/>
  <c r="E25" i="1"/>
  <c r="F25" i="1"/>
  <c r="G25" i="1"/>
  <c r="B25" i="1"/>
  <c r="C24" i="1"/>
  <c r="D24" i="1"/>
  <c r="E24" i="1"/>
  <c r="F24" i="1"/>
  <c r="G24" i="1"/>
  <c r="B24" i="1"/>
  <c r="G28" i="1"/>
  <c r="I27" i="1" l="1"/>
  <c r="I16" i="1"/>
  <c r="I26" i="1"/>
  <c r="I8" i="1"/>
  <c r="H27" i="1" l="1"/>
  <c r="H16" i="1"/>
  <c r="H26" i="1"/>
  <c r="H8" i="1"/>
  <c r="G18" i="1" l="1"/>
  <c r="G21" i="1"/>
  <c r="G10" i="1"/>
  <c r="G13" i="1"/>
  <c r="G17" i="1"/>
  <c r="G9" i="1"/>
  <c r="F21" i="1"/>
  <c r="F10" i="1"/>
  <c r="F13" i="1"/>
  <c r="F17" i="1"/>
  <c r="F9" i="1"/>
  <c r="E18" i="1"/>
  <c r="E21" i="1"/>
  <c r="E13" i="1"/>
  <c r="E17" i="1"/>
  <c r="E9" i="1"/>
  <c r="G36" i="1" l="1"/>
  <c r="F29" i="1" l="1"/>
  <c r="E29" i="1"/>
  <c r="F34" i="1" l="1"/>
  <c r="E34" i="1" l="1"/>
  <c r="F36" i="1" l="1"/>
  <c r="G27" i="1" l="1"/>
  <c r="G16" i="1"/>
  <c r="G26" i="1"/>
  <c r="G8" i="1"/>
  <c r="F27" i="1" l="1"/>
  <c r="F16" i="1"/>
  <c r="F26" i="1"/>
  <c r="F8" i="1"/>
  <c r="E36" i="1" l="1"/>
  <c r="E27" i="1" l="1"/>
  <c r="E16" i="1"/>
  <c r="E26" i="1"/>
  <c r="E8" i="1"/>
  <c r="E33" i="1" l="1"/>
  <c r="F33" i="1"/>
  <c r="G33" i="1"/>
  <c r="E28" i="1"/>
  <c r="F28" i="1"/>
  <c r="D18" i="1" l="1"/>
  <c r="D21" i="1"/>
  <c r="D10" i="1"/>
  <c r="D13" i="1"/>
  <c r="D9" i="1"/>
  <c r="C21" i="1"/>
  <c r="C10" i="1"/>
  <c r="C13" i="1"/>
  <c r="C17" i="1"/>
  <c r="C9" i="1"/>
  <c r="B18" i="1"/>
  <c r="B21" i="1"/>
  <c r="B13" i="1"/>
  <c r="B17" i="1"/>
  <c r="B9" i="1"/>
  <c r="D36" i="1" l="1"/>
  <c r="D34" i="1" l="1"/>
  <c r="C34" i="1" l="1"/>
  <c r="B34" i="1" l="1"/>
  <c r="C29" i="1" l="1"/>
  <c r="B29" i="1"/>
  <c r="C36" i="1" l="1"/>
  <c r="D27" i="1" l="1"/>
  <c r="D16" i="1"/>
  <c r="D26" i="1"/>
  <c r="D8" i="1"/>
  <c r="C33" i="1" l="1"/>
  <c r="D33" i="1"/>
  <c r="B33" i="1"/>
  <c r="C28" i="1"/>
  <c r="D28" i="1"/>
  <c r="B28" i="1"/>
  <c r="C27" i="1" l="1"/>
  <c r="C16" i="1"/>
  <c r="C26" i="1"/>
  <c r="C8" i="1"/>
  <c r="B27" i="1" l="1"/>
  <c r="B16" i="1"/>
  <c r="B26" i="1"/>
  <c r="B8" i="1"/>
  <c r="N6" i="1" l="1"/>
  <c r="N5" i="1"/>
  <c r="N22" i="1"/>
  <c r="N17" i="1"/>
  <c r="N14" i="1"/>
  <c r="N9" i="1"/>
  <c r="M7" i="1" l="1"/>
  <c r="L7" i="1"/>
  <c r="K15" i="1"/>
  <c r="K7" i="1"/>
  <c r="N24" i="1"/>
  <c r="N25" i="1"/>
  <c r="N28" i="1"/>
  <c r="N29" i="1"/>
  <c r="N30" i="1"/>
  <c r="N31" i="1"/>
  <c r="N32" i="1"/>
  <c r="N33" i="1"/>
  <c r="N34" i="1"/>
  <c r="N35" i="1"/>
  <c r="L15" i="1"/>
  <c r="M15" i="1"/>
  <c r="N11" i="1"/>
  <c r="N12" i="1"/>
  <c r="N10" i="1"/>
  <c r="M37" i="1" l="1"/>
  <c r="M38" i="1" s="1"/>
  <c r="L37" i="1"/>
  <c r="L38" i="1" s="1"/>
  <c r="K37" i="1"/>
  <c r="K38" i="1" s="1"/>
  <c r="N13" i="1"/>
  <c r="I15" i="1" l="1"/>
  <c r="H15" i="1"/>
  <c r="J15" i="1" l="1"/>
  <c r="H7" i="1"/>
  <c r="I7" i="1"/>
  <c r="J7" i="1"/>
  <c r="N36" i="1"/>
  <c r="N27" i="1"/>
  <c r="G7" i="1"/>
  <c r="F7" i="1"/>
  <c r="N21" i="1"/>
  <c r="N20" i="1"/>
  <c r="D15" i="1"/>
  <c r="D7" i="1"/>
  <c r="C15" i="1"/>
  <c r="C7" i="1"/>
  <c r="B15" i="1"/>
  <c r="B7" i="1"/>
  <c r="J37" i="1" l="1"/>
  <c r="J38" i="1" s="1"/>
  <c r="D37" i="1"/>
  <c r="D38" i="1" s="1"/>
  <c r="C37" i="1"/>
  <c r="C38" i="1" s="1"/>
  <c r="N18" i="1"/>
  <c r="N16" i="1"/>
  <c r="E7" i="1"/>
  <c r="N7" i="1" s="1"/>
  <c r="N8" i="1"/>
  <c r="N19" i="1"/>
  <c r="G15" i="1"/>
  <c r="N26" i="1"/>
  <c r="F15" i="1"/>
  <c r="I37" i="1"/>
  <c r="I38" i="1" s="1"/>
  <c r="H37" i="1"/>
  <c r="E15" i="1"/>
  <c r="B40" i="1"/>
  <c r="C6" i="1" s="1"/>
  <c r="C40" i="1" s="1"/>
  <c r="D6" i="1" s="1"/>
  <c r="D40" i="1" s="1"/>
  <c r="G37" i="1" l="1"/>
  <c r="G38" i="1" s="1"/>
  <c r="E6" i="1"/>
  <c r="E40" i="1" s="1"/>
  <c r="F6" i="1" s="1"/>
  <c r="F40" i="1" s="1"/>
  <c r="G6" i="1" s="1"/>
  <c r="N15" i="1"/>
  <c r="H38" i="1"/>
  <c r="F37" i="1"/>
  <c r="F38" i="1" s="1"/>
  <c r="B37" i="1"/>
  <c r="B38" i="1" s="1"/>
  <c r="B39" i="1" s="1"/>
  <c r="G40" i="1" l="1"/>
  <c r="H6" i="1" s="1"/>
  <c r="H40" i="1" s="1"/>
  <c r="I6" i="1" s="1"/>
  <c r="I40" i="1" s="1"/>
  <c r="J6" i="1" s="1"/>
  <c r="C5" i="1"/>
  <c r="C39" i="1"/>
  <c r="D39" i="1" s="1"/>
  <c r="E37" i="1"/>
  <c r="N37" i="1" s="1"/>
  <c r="N40" i="1"/>
  <c r="N42" i="1" s="1"/>
  <c r="J40" i="1" l="1"/>
  <c r="K6" i="1" s="1"/>
  <c r="K40" i="1" s="1"/>
  <c r="L6" i="1" s="1"/>
  <c r="L40" i="1" s="1"/>
  <c r="M6" i="1" s="1"/>
  <c r="M40" i="1" s="1"/>
  <c r="E5" i="1"/>
  <c r="D5" i="1"/>
  <c r="E38" i="1"/>
  <c r="N38" i="1"/>
  <c r="N39" i="1" s="1"/>
  <c r="E39" i="1" l="1"/>
  <c r="F39" i="1" s="1"/>
  <c r="G39" i="1" s="1"/>
  <c r="G5" i="1" l="1"/>
  <c r="F5" i="1"/>
  <c r="H5" i="1"/>
  <c r="H39" i="1"/>
  <c r="I39" i="1" l="1"/>
  <c r="J39" i="1" s="1"/>
  <c r="I5" i="1"/>
  <c r="J5" i="1" l="1"/>
  <c r="K5" i="1" l="1"/>
  <c r="K39" i="1"/>
  <c r="L5" i="1" l="1"/>
  <c r="L39" i="1"/>
  <c r="M5" i="1" l="1"/>
  <c r="M39" i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<sst xmlns="http://schemas.openxmlformats.org/spreadsheetml/2006/main" count="53" uniqueCount="45">
  <si>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</si>
  <si>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</si>
  <si>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</si>
  <si>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</si>
  <si>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</si>
  <si>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</si>
  <si>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</si>
  <si>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</si>
  <si>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</si>
  <si>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</si>
  <si>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</si>
  <si>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</si>
  <si>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</si>
  <si>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</si>
  <si>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</si>
  <si>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</si>
  <si>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</si>
  <si>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</si>
  <si>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</si>
  <si>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</si>
  <si>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</si>
  <si>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</si>
  <si>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</si>
  <si>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</si>
  <si>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</si>
  <si>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</si>
  <si>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</si>
  <si>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</si>
  <si>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Корректировка задолженности по решению Арбитражного суда за предыдущие периоды</t>
  </si>
  <si>
    <t>Содержание жилья и текущий ремонт,  ОПУ</t>
  </si>
  <si>
    <t xml:space="preserve">Содержание жилья и текущий ремонт,  ОПУ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</si>
  <si>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</si>
  <si>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</si>
  <si>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</si>
  <si>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</si>
  <si>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</si>
  <si>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</si>
  <si>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</si>
  <si>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</si>
  <si>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</si>
  <si>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</t>
  </si>
  <si>
    <t>Ноябрь 2022г</t>
  </si>
  <si>
    <t>Декабрь 2022г</t>
  </si>
  <si>
    <t>Всего:                       за  2022г</t>
  </si>
  <si>
    <t xml:space="preserve">                 ОТЧЕТ по дому Васильева, 65 за период 01.01.2022г. по 31.12.2022г.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</si>
</sst>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[$-419]mmmm\ yyyy;@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5" fontId="7" fillId="0" borderId="2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25" zoomScale="75" workbookViewId="0">
      <selection activeCell="A25" sqref="A1:H1048576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4" width="15.109375" customWidth="1"/>
    <col min="5" max="5" width="15.44140625" customWidth="1"/>
    <col min="6" max="7" width="13.6640625" customWidth="1"/>
    <col min="8" max="8" width="14.109375" customWidth="1"/>
    <col min="9" max="9" width="13.88671875" customWidth="1"/>
    <col min="10" max="13" width="14.109375" customWidth="1"/>
    <col min="14" max="14" width="16.33203125" customWidth="1"/>
  </cols>
  <sheetData>
    <row r="1" spans="1:18" ht="20.25" customHeight="1" x14ac:dyDescent="0.35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21" t="s">
        <v>40</v>
      </c>
      <c r="L4" s="21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-468844.75</v>
      </c>
      <c r="C5" s="8">
        <f t="shared" ref="C5:D6" si="0">B39</f>
        <v>-457851.58645</v>
      </c>
      <c r="D5" s="8">
        <f t="shared" si="0"/>
        <v>-460272.72658000002</v>
      </c>
      <c r="E5" s="8">
        <f t="shared" ref="E5:J6" si="1">D39</f>
        <v>-463315.39948000002</v>
      </c>
      <c r="F5" s="8">
        <f t="shared" si="1"/>
        <v>-454417.57643000002</v>
      </c>
      <c r="G5" s="8">
        <f t="shared" si="1"/>
        <v>-468779.57235000003</v>
      </c>
      <c r="H5" s="8">
        <f t="shared" si="1"/>
        <v>-505321.54634</v>
      </c>
      <c r="I5" s="8">
        <f t="shared" si="1"/>
        <v>-535817.96689000004</v>
      </c>
      <c r="J5" s="8">
        <f t="shared" si="1"/>
        <v>-541684.79411999998</v>
      </c>
      <c r="K5" s="8">
        <f t="shared" ref="K5:K6" si="2">J39</f>
        <v>-558512.59768999997</v>
      </c>
      <c r="L5" s="8">
        <f t="shared" ref="L5:L6" si="3">K39</f>
        <v>-567274.21878999996</v>
      </c>
      <c r="M5" s="8">
        <f t="shared" ref="M5:M6" si="4">L39</f>
        <v>-554534.22791999998</v>
      </c>
      <c r="N5" s="8">
        <f>B5</f>
        <v>-468844.75</v>
      </c>
    </row>
    <row r="6" spans="1:18" ht="21" customHeight="1" thickBot="1" x14ac:dyDescent="0.3">
      <c r="A6" s="7" t="s">
        <v>13</v>
      </c>
      <c r="B6" s="8">
        <v>-141471.99</v>
      </c>
      <c r="C6" s="8">
        <f t="shared" si="0"/>
        <v>-140135.85999999999</v>
      </c>
      <c r="D6" s="8">
        <f t="shared" si="0"/>
        <v>-149694.69999999998</v>
      </c>
      <c r="E6" s="8">
        <f t="shared" si="1"/>
        <v>-164540.43</v>
      </c>
      <c r="F6" s="8">
        <f t="shared" si="1"/>
        <v>-155552.19999999998</v>
      </c>
      <c r="G6" s="8">
        <f t="shared" si="1"/>
        <v>-144886.30999999997</v>
      </c>
      <c r="H6" s="8">
        <f t="shared" si="1"/>
        <v>-152713.12999999995</v>
      </c>
      <c r="I6" s="8">
        <f t="shared" si="1"/>
        <v>-161458.34999999995</v>
      </c>
      <c r="J6" s="8">
        <f t="shared" si="1"/>
        <v>-166060.31999999995</v>
      </c>
      <c r="K6" s="8">
        <f t="shared" si="2"/>
        <v>-180343.14999999997</v>
      </c>
      <c r="L6" s="8">
        <f t="shared" si="3"/>
        <v>-193384.56999999998</v>
      </c>
      <c r="M6" s="8">
        <f t="shared" si="4"/>
        <v>-197715.63</v>
      </c>
      <c r="N6" s="8">
        <f>B6</f>
        <v>-141471.99</v>
      </c>
    </row>
    <row r="7" spans="1:18" ht="20.25" customHeight="1" thickBot="1" x14ac:dyDescent="0.3">
      <c r="A7" s="9" t="s">
        <v>12</v>
      </c>
      <c r="B7" s="10">
        <f t="shared" ref="B7:G7" si="5">SUM(B8:B14)</f>
        <v>45118.400000000001</v>
      </c>
      <c r="C7" s="10">
        <f t="shared" si="5"/>
        <v>46242.47</v>
      </c>
      <c r="D7" s="10">
        <f t="shared" si="5"/>
        <v>48155.55</v>
      </c>
      <c r="E7" s="10">
        <f t="shared" si="5"/>
        <v>45118.400000000001</v>
      </c>
      <c r="F7" s="10">
        <f t="shared" si="5"/>
        <v>52541.21</v>
      </c>
      <c r="G7" s="10">
        <f t="shared" si="5"/>
        <v>51537.62</v>
      </c>
      <c r="H7" s="10">
        <f t="shared" ref="H7" si="6">SUM(H8:H14)</f>
        <v>45118.400000000001</v>
      </c>
      <c r="I7" s="10">
        <f t="shared" ref="I7" si="7">SUM(I8:I14)</f>
        <v>44723.060000000005</v>
      </c>
      <c r="J7" s="10">
        <f t="shared" ref="J7:M7" si="8">SUM(J8:J14)</f>
        <v>48322.750000000007</v>
      </c>
      <c r="K7" s="10">
        <f>SUM(K8:K14)</f>
        <v>52537.9</v>
      </c>
      <c r="L7" s="10">
        <f t="shared" si="8"/>
        <v>60251.98</v>
      </c>
      <c r="M7" s="10">
        <f t="shared" si="8"/>
        <v>55950.770000000004</v>
      </c>
      <c r="N7" s="10">
        <f>SUM(B7:M7)</f>
        <v>595618.51</v>
      </c>
    </row>
    <row r="8" spans="1:18" ht="24.75" customHeight="1" thickBot="1" x14ac:dyDescent="0.3">
      <c r="A8" s="4" t="s">
        <v>29</v>
      </c>
      <c r="B8" s="11">
        <f t="shared" ref="B8:G8" si="9">37884.74+1603.71</f>
        <v>39488.449999999997</v>
      </c>
      <c r="C8" s="11">
        <f t="shared" si="9"/>
        <v>39488.449999999997</v>
      </c>
      <c r="D8" s="11">
        <f t="shared" si="9"/>
        <v>39488.449999999997</v>
      </c>
      <c r="E8" s="11">
        <f t="shared" si="9"/>
        <v>39488.449999999997</v>
      </c>
      <c r="F8" s="11">
        <f t="shared" si="9"/>
        <v>39488.449999999997</v>
      </c>
      <c r="G8" s="11">
        <f t="shared" si="9"/>
        <v>39488.449999999997</v>
      </c>
      <c r="H8" s="11">
        <f>37884.74+1603.71</f>
        <v>39488.449999999997</v>
      </c>
      <c r="I8" s="11">
        <f>37884.74+1208.37</f>
        <v>39093.11</v>
      </c>
      <c r="J8" s="11">
        <f>37884.74+1208.37</f>
        <v>39093.11</v>
      </c>
      <c r="K8" s="11">
        <f>44360.6+1208.37</f>
        <v>45568.97</v>
      </c>
      <c r="L8" s="11">
        <f>44360.6+1208.37</f>
        <v>45568.97</v>
      </c>
      <c r="M8" s="11">
        <f>44360.6+1208.37</f>
        <v>45568.97</v>
      </c>
      <c r="N8" s="11">
        <f>SUM(B8:M8)</f>
        <v>491312.27999999991</v>
      </c>
    </row>
    <row r="9" spans="1:18" ht="22.95" customHeight="1" thickBot="1" x14ac:dyDescent="0.3">
      <c r="A9" s="4" t="s">
        <v>17</v>
      </c>
      <c r="B9" s="11">
        <f t="shared" ref="B9:G9" si="10">2257.09+1402.68</f>
        <v>3659.7700000000004</v>
      </c>
      <c r="C9" s="11">
        <f t="shared" si="10"/>
        <v>3659.7700000000004</v>
      </c>
      <c r="D9" s="11">
        <f t="shared" si="10"/>
        <v>3659.7700000000004</v>
      </c>
      <c r="E9" s="11">
        <f t="shared" si="10"/>
        <v>3659.7700000000004</v>
      </c>
      <c r="F9" s="11">
        <f t="shared" si="10"/>
        <v>3659.7700000000004</v>
      </c>
      <c r="G9" s="11">
        <f t="shared" si="10"/>
        <v>3659.7700000000004</v>
      </c>
      <c r="H9" s="11">
        <f>1402.68+2257.09</f>
        <v>3659.7700000000004</v>
      </c>
      <c r="I9" s="11">
        <f>1402.68+2257.09</f>
        <v>3659.7700000000004</v>
      </c>
      <c r="J9" s="11">
        <f>1402.68+2257.09</f>
        <v>3659.7700000000004</v>
      </c>
      <c r="K9" s="11">
        <f>2642.91+1642.44</f>
        <v>4285.3500000000004</v>
      </c>
      <c r="L9" s="11">
        <f>2642.91+1642.44</f>
        <v>4285.3500000000004</v>
      </c>
      <c r="M9" s="11">
        <f>2642.91+1642.44</f>
        <v>4285.3500000000004</v>
      </c>
      <c r="N9" s="11">
        <f>SUM(B9:M9)</f>
        <v>45793.98</v>
      </c>
    </row>
    <row r="10" spans="1:18" ht="24.75" customHeight="1" thickBot="1" x14ac:dyDescent="0.3">
      <c r="A10" s="4" t="s">
        <v>18</v>
      </c>
      <c r="B10" s="11">
        <v>0</v>
      </c>
      <c r="C10" s="11">
        <f>1025.66+60.69+37.72</f>
        <v>1124.0700000000002</v>
      </c>
      <c r="D10" s="11">
        <f>2770.05+164.73+102.37</f>
        <v>3037.15</v>
      </c>
      <c r="E10" s="11">
        <v>0</v>
      </c>
      <c r="F10" s="11">
        <f>6802.69+404.6+215.52</f>
        <v>7422.81</v>
      </c>
      <c r="G10" s="11">
        <f>5820.98+346.8+251.44</f>
        <v>6419.2199999999993</v>
      </c>
      <c r="H10" s="11">
        <v>0</v>
      </c>
      <c r="I10" s="11">
        <v>0</v>
      </c>
      <c r="J10" s="11">
        <f>3283.38+121.23+195.08</f>
        <v>3599.69</v>
      </c>
      <c r="K10" s="11">
        <f>650.13+39.02+24.25</f>
        <v>713.4</v>
      </c>
      <c r="L10" s="11">
        <f>7684.74+458.07+284.67</f>
        <v>8427.48</v>
      </c>
      <c r="M10" s="11">
        <f>3675.75+218.2+135.6</f>
        <v>4029.5499999999997</v>
      </c>
      <c r="N10" s="11">
        <f>SUM(B10:M10)</f>
        <v>34773.370000000003</v>
      </c>
    </row>
    <row r="11" spans="1:18" ht="24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ref="N11" si="11">SUM(B11:M11)</f>
        <v>0</v>
      </c>
    </row>
    <row r="12" spans="1:18" ht="24.75" customHeight="1" thickBot="1" x14ac:dyDescent="0.3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ref="N12:N22" si="12">SUM(B12:M12)</f>
        <v>0</v>
      </c>
    </row>
    <row r="13" spans="1:18" ht="24.75" customHeight="1" thickBot="1" x14ac:dyDescent="0.3">
      <c r="A13" s="4" t="s">
        <v>27</v>
      </c>
      <c r="B13" s="11">
        <f t="shared" ref="B13:G13" si="13">274.4+15.9+9.88</f>
        <v>300.17999999999995</v>
      </c>
      <c r="C13" s="11">
        <f t="shared" si="13"/>
        <v>300.17999999999995</v>
      </c>
      <c r="D13" s="11">
        <f t="shared" si="13"/>
        <v>300.17999999999995</v>
      </c>
      <c r="E13" s="11">
        <f t="shared" si="13"/>
        <v>300.17999999999995</v>
      </c>
      <c r="F13" s="11">
        <f t="shared" si="13"/>
        <v>300.17999999999995</v>
      </c>
      <c r="G13" s="11">
        <f t="shared" si="13"/>
        <v>300.17999999999995</v>
      </c>
      <c r="H13" s="11">
        <f>274.4+9.88+15.9</f>
        <v>300.17999999999995</v>
      </c>
      <c r="I13" s="11">
        <f>274.4+9.88+15.9</f>
        <v>300.17999999999995</v>
      </c>
      <c r="J13" s="11">
        <f>274.4+9.88+15.9</f>
        <v>300.17999999999995</v>
      </c>
      <c r="K13" s="11">
        <f>274.4+15.9+9.88</f>
        <v>300.17999999999995</v>
      </c>
      <c r="L13" s="11">
        <f>274.4+15.9+9.88</f>
        <v>300.17999999999995</v>
      </c>
      <c r="M13" s="11">
        <f>361.75+21.68+13.47</f>
        <v>396.90000000000003</v>
      </c>
      <c r="N13" s="11">
        <f t="shared" si="12"/>
        <v>3698.8799999999987</v>
      </c>
    </row>
    <row r="14" spans="1:18" ht="24.75" customHeight="1" thickBot="1" x14ac:dyDescent="0.3">
      <c r="A14" s="4" t="s">
        <v>15</v>
      </c>
      <c r="B14" s="11">
        <v>1670</v>
      </c>
      <c r="C14" s="11">
        <v>1670</v>
      </c>
      <c r="D14" s="11">
        <v>1670</v>
      </c>
      <c r="E14" s="11">
        <v>1670</v>
      </c>
      <c r="F14" s="11">
        <v>1670</v>
      </c>
      <c r="G14" s="11">
        <v>1670</v>
      </c>
      <c r="H14" s="11">
        <v>1670</v>
      </c>
      <c r="I14" s="11">
        <v>1670</v>
      </c>
      <c r="J14" s="11">
        <v>1670</v>
      </c>
      <c r="K14" s="11">
        <v>1670</v>
      </c>
      <c r="L14" s="11">
        <v>1670</v>
      </c>
      <c r="M14" s="11">
        <v>1670</v>
      </c>
      <c r="N14" s="11">
        <f t="shared" si="12"/>
        <v>20040</v>
      </c>
    </row>
    <row r="15" spans="1:18" ht="20.25" customHeight="1" thickBot="1" x14ac:dyDescent="0.3">
      <c r="A15" s="12" t="s">
        <v>8</v>
      </c>
      <c r="B15" s="13">
        <f t="shared" ref="B15:H15" si="14">SUM(B16:B22)</f>
        <v>46454.53</v>
      </c>
      <c r="C15" s="13">
        <f t="shared" si="14"/>
        <v>36683.629999999997</v>
      </c>
      <c r="D15" s="13">
        <f t="shared" si="14"/>
        <v>33309.82</v>
      </c>
      <c r="E15" s="13">
        <f t="shared" si="14"/>
        <v>54106.63</v>
      </c>
      <c r="F15" s="13">
        <f t="shared" si="14"/>
        <v>63207.100000000006</v>
      </c>
      <c r="G15" s="13">
        <f t="shared" si="14"/>
        <v>43710.80000000001</v>
      </c>
      <c r="H15" s="13">
        <f t="shared" si="14"/>
        <v>36373.18</v>
      </c>
      <c r="I15" s="13">
        <f>SUM(I16:I22)</f>
        <v>40121.090000000004</v>
      </c>
      <c r="J15" s="13">
        <f t="shared" ref="J15:M15" si="15">SUM(J16:J22)</f>
        <v>34039.919999999998</v>
      </c>
      <c r="K15" s="13">
        <f>SUM(K16:K22)</f>
        <v>39496.479999999996</v>
      </c>
      <c r="L15" s="13">
        <f t="shared" si="15"/>
        <v>55920.919999999991</v>
      </c>
      <c r="M15" s="13">
        <f t="shared" si="15"/>
        <v>44504.35</v>
      </c>
      <c r="N15" s="13">
        <f>SUM(B15:M15)</f>
        <v>527928.44999999995</v>
      </c>
    </row>
    <row r="16" spans="1:18" ht="24" customHeight="1" thickBot="1" x14ac:dyDescent="0.3">
      <c r="A16" s="4" t="s">
        <v>30</v>
      </c>
      <c r="B16" s="11">
        <f>39434.17+1362.84</f>
        <v>40797.009999999995</v>
      </c>
      <c r="C16" s="11">
        <f>29870.52+1286.69</f>
        <v>31157.21</v>
      </c>
      <c r="D16" s="11">
        <f>27303.24+1096.12</f>
        <v>28399.360000000001</v>
      </c>
      <c r="E16" s="11">
        <f>44058.77+1802.33</f>
        <v>45861.1</v>
      </c>
      <c r="F16" s="11">
        <f>53926.08+2085.84</f>
        <v>56011.92</v>
      </c>
      <c r="G16" s="11">
        <f>31226.83+1295.14</f>
        <v>32521.97</v>
      </c>
      <c r="H16" s="11">
        <f>27778.9+1167.27</f>
        <v>28946.170000000002</v>
      </c>
      <c r="I16" s="11">
        <f>30349.19+1201.06</f>
        <v>31550.25</v>
      </c>
      <c r="J16" s="11">
        <f>27088.54+899.15</f>
        <v>27987.690000000002</v>
      </c>
      <c r="K16" s="11">
        <f>30130.75+1059.51</f>
        <v>31190.26</v>
      </c>
      <c r="L16" s="11">
        <f>47039.65+1477.38</f>
        <v>48517.03</v>
      </c>
      <c r="M16" s="11">
        <f>31739.42+858.19</f>
        <v>32597.609999999997</v>
      </c>
      <c r="N16" s="11">
        <f t="shared" si="12"/>
        <v>435537.57999999996</v>
      </c>
    </row>
    <row r="17" spans="1:15" ht="26.25" customHeight="1" thickBot="1" x14ac:dyDescent="0.3">
      <c r="A17" s="4" t="s">
        <v>17</v>
      </c>
      <c r="B17" s="11">
        <f>2257.09+1402.68</f>
        <v>3659.7700000000004</v>
      </c>
      <c r="C17" s="11">
        <f>2257.09+1402.68</f>
        <v>3659.7700000000004</v>
      </c>
      <c r="D17" s="11">
        <v>2257.09</v>
      </c>
      <c r="E17" s="11">
        <f>2257.09+1402.68</f>
        <v>3659.7700000000004</v>
      </c>
      <c r="F17" s="11">
        <f>2257.09+1402.68</f>
        <v>3659.7700000000004</v>
      </c>
      <c r="G17" s="11">
        <f>2257.09+1402.68</f>
        <v>3659.7700000000004</v>
      </c>
      <c r="H17" s="11">
        <v>1402.68</v>
      </c>
      <c r="I17" s="11">
        <f>1402.68+2257.09*2</f>
        <v>5916.8600000000006</v>
      </c>
      <c r="J17" s="11">
        <f>1402.68+2257.09</f>
        <v>3659.7700000000004</v>
      </c>
      <c r="K17" s="11">
        <f>2257.09+1402.68</f>
        <v>3659.7700000000004</v>
      </c>
      <c r="L17" s="11">
        <f>2642.91+1642.44</f>
        <v>4285.3500000000004</v>
      </c>
      <c r="M17" s="11">
        <f>2642.91+1642.44</f>
        <v>4285.3500000000004</v>
      </c>
      <c r="N17" s="11">
        <f t="shared" si="12"/>
        <v>43765.72</v>
      </c>
    </row>
    <row r="18" spans="1:15" ht="26.25" customHeight="1" thickBot="1" x14ac:dyDescent="0.3">
      <c r="A18" s="4" t="s">
        <v>18</v>
      </c>
      <c r="B18" s="11">
        <f>121.25+1.45+0.9</f>
        <v>123.60000000000001</v>
      </c>
      <c r="C18" s="11">
        <v>23.3</v>
      </c>
      <c r="D18" s="11">
        <f>779.01+60.69</f>
        <v>839.7</v>
      </c>
      <c r="E18" s="11">
        <f>2372.33+164.73+102.37</f>
        <v>2639.43</v>
      </c>
      <c r="F18" s="11">
        <v>1514.04</v>
      </c>
      <c r="G18" s="11">
        <f>5054.43+404.6+215.52</f>
        <v>5674.5500000000011</v>
      </c>
      <c r="H18" s="11">
        <f>3993.16+215.52</f>
        <v>4208.68</v>
      </c>
      <c r="I18" s="11">
        <f>444.68+346.8</f>
        <v>791.48</v>
      </c>
      <c r="J18" s="11">
        <v>149.66</v>
      </c>
      <c r="K18" s="11">
        <f>2485.18+195.08+121.23</f>
        <v>2801.49</v>
      </c>
      <c r="L18" s="11">
        <f>1121.62+39.02+24.25</f>
        <v>1184.8899999999999</v>
      </c>
      <c r="M18" s="11">
        <f>5056.62+458.07+284.67</f>
        <v>5799.36</v>
      </c>
      <c r="N18" s="11">
        <f t="shared" si="12"/>
        <v>25750.18</v>
      </c>
    </row>
    <row r="19" spans="1:15" ht="26.25" customHeight="1" thickBot="1" x14ac:dyDescent="0.3">
      <c r="A19" s="4" t="s">
        <v>19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 t="shared" si="12"/>
        <v>0</v>
      </c>
    </row>
    <row r="20" spans="1:15" ht="26.25" customHeight="1" thickBot="1" x14ac:dyDescent="0.3">
      <c r="A20" s="4" t="s">
        <v>20</v>
      </c>
      <c r="B20" s="11">
        <v>6.12</v>
      </c>
      <c r="C20" s="11">
        <v>1.08</v>
      </c>
      <c r="D20" s="11">
        <v>0</v>
      </c>
      <c r="E20" s="11">
        <v>0.8</v>
      </c>
      <c r="F20" s="11">
        <v>4.75</v>
      </c>
      <c r="G20" s="11">
        <v>2.33</v>
      </c>
      <c r="H20" s="11">
        <v>4.28</v>
      </c>
      <c r="I20" s="11">
        <v>0.86</v>
      </c>
      <c r="J20" s="11">
        <v>0.7</v>
      </c>
      <c r="K20" s="11">
        <v>0.79</v>
      </c>
      <c r="L20" s="11">
        <v>2.88</v>
      </c>
      <c r="M20" s="11">
        <v>0</v>
      </c>
      <c r="N20" s="11">
        <f t="shared" si="12"/>
        <v>24.589999999999996</v>
      </c>
    </row>
    <row r="21" spans="1:15" ht="26.25" customHeight="1" thickBot="1" x14ac:dyDescent="0.3">
      <c r="A21" s="4" t="s">
        <v>27</v>
      </c>
      <c r="B21" s="11">
        <f>242.25+15.9+9.88</f>
        <v>268.02999999999997</v>
      </c>
      <c r="C21" s="11">
        <f>216.49+15.9+9.88</f>
        <v>242.27</v>
      </c>
      <c r="D21" s="11">
        <f>197.77+15.9</f>
        <v>213.67000000000002</v>
      </c>
      <c r="E21" s="11">
        <f>319.75+15.9+9.88</f>
        <v>345.53</v>
      </c>
      <c r="F21" s="11">
        <f>390.84+15.9+9.88</f>
        <v>416.61999999999995</v>
      </c>
      <c r="G21" s="11">
        <f>226.4+15.9+9.88</f>
        <v>252.18</v>
      </c>
      <c r="H21" s="11">
        <f>201.49+9.88</f>
        <v>211.37</v>
      </c>
      <c r="I21" s="11">
        <f>219.96+9.88+15.9+15.9</f>
        <v>261.64</v>
      </c>
      <c r="J21" s="11">
        <f>196.32+9.88+15.9</f>
        <v>222.1</v>
      </c>
      <c r="K21" s="11">
        <f>218.39+15.9+9.88</f>
        <v>244.17</v>
      </c>
      <c r="L21" s="11">
        <f>304.99+15.9+9.88</f>
        <v>330.77</v>
      </c>
      <c r="M21" s="11">
        <f>196.25+15.9+9.88</f>
        <v>222.03</v>
      </c>
      <c r="N21" s="11">
        <f t="shared" si="12"/>
        <v>3230.38</v>
      </c>
    </row>
    <row r="22" spans="1:15" ht="26.25" customHeight="1" thickBot="1" x14ac:dyDescent="0.3">
      <c r="A22" s="4" t="s">
        <v>15</v>
      </c>
      <c r="B22" s="14">
        <v>1600</v>
      </c>
      <c r="C22" s="14">
        <v>1600</v>
      </c>
      <c r="D22" s="14">
        <v>1600</v>
      </c>
      <c r="E22" s="14">
        <v>1600</v>
      </c>
      <c r="F22" s="14">
        <v>1600</v>
      </c>
      <c r="G22" s="14">
        <v>1600</v>
      </c>
      <c r="H22" s="14">
        <v>1600</v>
      </c>
      <c r="I22" s="14">
        <v>1600</v>
      </c>
      <c r="J22" s="14">
        <v>2020</v>
      </c>
      <c r="K22" s="11">
        <v>1600</v>
      </c>
      <c r="L22" s="11">
        <v>1600</v>
      </c>
      <c r="M22" s="11">
        <v>1600</v>
      </c>
      <c r="N22" s="11">
        <f t="shared" si="12"/>
        <v>19620</v>
      </c>
      <c r="O22" s="3"/>
    </row>
    <row r="23" spans="1:15" ht="21.75" customHeight="1" thickBot="1" x14ac:dyDescent="0.3">
      <c r="A23" s="15" t="s">
        <v>25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2659.7*0.55</f>
        <v>1462.835</v>
      </c>
      <c r="C24" s="11">
        <f t="shared" ref="C24:K24" si="16">2659.7*0.55</f>
        <v>1462.835</v>
      </c>
      <c r="D24" s="11">
        <f t="shared" si="16"/>
        <v>1462.835</v>
      </c>
      <c r="E24" s="11">
        <f t="shared" si="16"/>
        <v>1462.835</v>
      </c>
      <c r="F24" s="11">
        <f t="shared" si="16"/>
        <v>1462.835</v>
      </c>
      <c r="G24" s="11">
        <f t="shared" si="16"/>
        <v>1462.835</v>
      </c>
      <c r="H24" s="11">
        <f t="shared" si="16"/>
        <v>1462.835</v>
      </c>
      <c r="I24" s="11">
        <f t="shared" si="16"/>
        <v>1462.835</v>
      </c>
      <c r="J24" s="11">
        <f t="shared" si="16"/>
        <v>1462.835</v>
      </c>
      <c r="K24" s="11">
        <f t="shared" si="16"/>
        <v>1462.835</v>
      </c>
      <c r="L24" s="11">
        <f>2659.7*0.6</f>
        <v>1595.82</v>
      </c>
      <c r="M24" s="11">
        <f>2659.7*0.6</f>
        <v>1595.82</v>
      </c>
      <c r="N24" s="11">
        <f t="shared" ref="N24:N36" si="17">SUM(B24:M24)</f>
        <v>17819.989999999998</v>
      </c>
    </row>
    <row r="25" spans="1:15" ht="22.5" customHeight="1" thickBot="1" x14ac:dyDescent="0.3">
      <c r="A25" s="4" t="s">
        <v>2</v>
      </c>
      <c r="B25" s="11">
        <f>2659.7*0.17</f>
        <v>452.149</v>
      </c>
      <c r="C25" s="11">
        <f t="shared" ref="C25:M25" si="18">2659.7*0.17</f>
        <v>452.149</v>
      </c>
      <c r="D25" s="11">
        <f t="shared" si="18"/>
        <v>452.149</v>
      </c>
      <c r="E25" s="11">
        <f t="shared" si="18"/>
        <v>452.149</v>
      </c>
      <c r="F25" s="11">
        <f t="shared" si="18"/>
        <v>452.149</v>
      </c>
      <c r="G25" s="11">
        <f t="shared" si="18"/>
        <v>452.149</v>
      </c>
      <c r="H25" s="11">
        <f t="shared" si="18"/>
        <v>452.149</v>
      </c>
      <c r="I25" s="11">
        <f t="shared" si="18"/>
        <v>452.149</v>
      </c>
      <c r="J25" s="11">
        <f t="shared" si="18"/>
        <v>452.149</v>
      </c>
      <c r="K25" s="11">
        <f t="shared" si="18"/>
        <v>452.149</v>
      </c>
      <c r="L25" s="11">
        <f t="shared" si="18"/>
        <v>452.149</v>
      </c>
      <c r="M25" s="11">
        <f t="shared" si="18"/>
        <v>452.149</v>
      </c>
      <c r="N25" s="11">
        <f t="shared" si="17"/>
        <v>5425.7880000000005</v>
      </c>
    </row>
    <row r="26" spans="1:15" ht="21" customHeight="1" thickBot="1" x14ac:dyDescent="0.3">
      <c r="A26" s="4" t="s">
        <v>3</v>
      </c>
      <c r="B26" s="11">
        <f>39762.85*2.3%</f>
        <v>914.54554999999993</v>
      </c>
      <c r="C26" s="11">
        <f>40788.51*2.3%</f>
        <v>938.13573000000008</v>
      </c>
      <c r="D26" s="11">
        <f>42532.9*2.3%</f>
        <v>978.25670000000002</v>
      </c>
      <c r="E26" s="11">
        <f>39762.85*2.3%</f>
        <v>914.54554999999993</v>
      </c>
      <c r="F26" s="11">
        <f>46565.54*2.3%</f>
        <v>1071.0074199999999</v>
      </c>
      <c r="G26" s="11">
        <f>45583.83*2.3%</f>
        <v>1048.4280900000001</v>
      </c>
      <c r="H26" s="11">
        <f>39762.85*2.3%</f>
        <v>914.54554999999993</v>
      </c>
      <c r="I26" s="11">
        <f>39367.51*2.3%</f>
        <v>905.45273000000009</v>
      </c>
      <c r="J26" s="11">
        <f>42650.89*2.3%</f>
        <v>980.97046999999998</v>
      </c>
      <c r="K26" s="11">
        <f>46493.5*2.3%</f>
        <v>1069.3505</v>
      </c>
      <c r="L26" s="11">
        <f>53528.11*2.3%</f>
        <v>1231.14653</v>
      </c>
      <c r="M26" s="11">
        <f>49606.47*2.3%</f>
        <v>1140.9488100000001</v>
      </c>
      <c r="N26" s="11">
        <f t="shared" si="17"/>
        <v>12107.333629999999</v>
      </c>
    </row>
    <row r="27" spans="1:15" ht="23.25" customHeight="1" thickBot="1" x14ac:dyDescent="0.3">
      <c r="A27" s="4" t="s">
        <v>4</v>
      </c>
      <c r="B27" s="11">
        <f>41166.63*3%</f>
        <v>1234.9988999999998</v>
      </c>
      <c r="C27" s="11">
        <f>31398.08*3%</f>
        <v>941.94240000000002</v>
      </c>
      <c r="D27" s="11">
        <f>29376.14*3%</f>
        <v>881.28419999999994</v>
      </c>
      <c r="E27" s="11">
        <f>48553.98*3%</f>
        <v>1456.6194</v>
      </c>
      <c r="F27" s="11">
        <f>57921.55*3%</f>
        <v>1737.6465000000001</v>
      </c>
      <c r="G27" s="11">
        <f>37805.13*3%</f>
        <v>1134.1538999999998</v>
      </c>
      <c r="H27" s="11">
        <f>33145.1*3%</f>
        <v>994.35299999999995</v>
      </c>
      <c r="I27" s="11">
        <f>32215.75*3%</f>
        <v>966.47249999999997</v>
      </c>
      <c r="J27" s="11">
        <f>28334.37*3%</f>
        <v>850.03109999999992</v>
      </c>
      <c r="K27" s="11">
        <f>33894.62*3%</f>
        <v>1016.8386</v>
      </c>
      <c r="L27" s="11">
        <f>49946.52*3%</f>
        <v>1498.3955999999998</v>
      </c>
      <c r="M27" s="11">
        <f>37850.48*3%</f>
        <v>1135.5144</v>
      </c>
      <c r="N27" s="11">
        <f t="shared" si="17"/>
        <v>13848.250499999998</v>
      </c>
    </row>
    <row r="28" spans="1:15" ht="23.25" customHeight="1" thickBot="1" x14ac:dyDescent="0.3">
      <c r="A28" s="4" t="s">
        <v>9</v>
      </c>
      <c r="B28" s="11">
        <f>2659.7*8.5</f>
        <v>22607.449999999997</v>
      </c>
      <c r="C28" s="11">
        <f t="shared" ref="C28:F28" si="19">2659.7*8.5</f>
        <v>22607.449999999997</v>
      </c>
      <c r="D28" s="11">
        <f t="shared" si="19"/>
        <v>22607.449999999997</v>
      </c>
      <c r="E28" s="11">
        <f t="shared" si="19"/>
        <v>22607.449999999997</v>
      </c>
      <c r="F28" s="11">
        <f t="shared" si="19"/>
        <v>22607.449999999997</v>
      </c>
      <c r="G28" s="11">
        <f>2659.7*8.5</f>
        <v>22607.449999999997</v>
      </c>
      <c r="H28" s="11">
        <f>2659.7*9.7</f>
        <v>25799.089999999997</v>
      </c>
      <c r="I28" s="11">
        <f t="shared" ref="I28:M28" si="20">2659.7*9.7</f>
        <v>25799.089999999997</v>
      </c>
      <c r="J28" s="11">
        <f t="shared" si="20"/>
        <v>25799.089999999997</v>
      </c>
      <c r="K28" s="11">
        <f t="shared" si="20"/>
        <v>25799.089999999997</v>
      </c>
      <c r="L28" s="11">
        <f t="shared" si="20"/>
        <v>25799.089999999997</v>
      </c>
      <c r="M28" s="11">
        <f t="shared" si="20"/>
        <v>25799.089999999997</v>
      </c>
      <c r="N28" s="11">
        <f t="shared" si="17"/>
        <v>290439.24</v>
      </c>
    </row>
    <row r="29" spans="1:15" ht="26.25" customHeight="1" thickBot="1" x14ac:dyDescent="0.3">
      <c r="A29" s="4" t="s">
        <v>21</v>
      </c>
      <c r="B29" s="11">
        <f>1124.77+0</f>
        <v>1124.77</v>
      </c>
      <c r="C29" s="11">
        <f>3037.63+0.01</f>
        <v>3037.6400000000003</v>
      </c>
      <c r="D29" s="11">
        <v>0</v>
      </c>
      <c r="E29" s="11">
        <f>7459.89+0</f>
        <v>7459.89</v>
      </c>
      <c r="F29" s="11">
        <f>6250.53+132.96</f>
        <v>6383.49</v>
      </c>
      <c r="G29" s="11">
        <v>0</v>
      </c>
      <c r="H29" s="11">
        <v>0</v>
      </c>
      <c r="I29" s="11">
        <f>3185.36+415.24</f>
        <v>3600.6000000000004</v>
      </c>
      <c r="J29" s="11">
        <f>488.81+224.12</f>
        <v>712.93000000000006</v>
      </c>
      <c r="K29" s="11">
        <f>7455.18+971.96</f>
        <v>8427.14</v>
      </c>
      <c r="L29" s="11">
        <f>3565.94+464.89</f>
        <v>4030.83</v>
      </c>
      <c r="M29" s="11">
        <f>1886.82+240.08</f>
        <v>2126.9</v>
      </c>
      <c r="N29" s="11">
        <f t="shared" si="17"/>
        <v>36904.19</v>
      </c>
    </row>
    <row r="30" spans="1:15" ht="26.25" customHeight="1" thickBot="1" x14ac:dyDescent="0.3">
      <c r="A30" s="4" t="s">
        <v>22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7"/>
        <v>0</v>
      </c>
    </row>
    <row r="31" spans="1:15" ht="26.25" customHeight="1" thickBot="1" x14ac:dyDescent="0.3">
      <c r="A31" s="4" t="s">
        <v>23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3070.2</v>
      </c>
      <c r="N31" s="11">
        <f t="shared" si="17"/>
        <v>3070.2</v>
      </c>
    </row>
    <row r="32" spans="1:15" ht="26.25" customHeight="1" thickBot="1" x14ac:dyDescent="0.3">
      <c r="A32" s="4" t="s">
        <v>27</v>
      </c>
      <c r="B32" s="11">
        <v>300.92</v>
      </c>
      <c r="C32" s="11">
        <v>300.92</v>
      </c>
      <c r="D32" s="11">
        <v>300.92</v>
      </c>
      <c r="E32" s="11">
        <v>300.92</v>
      </c>
      <c r="F32" s="11">
        <v>300.92</v>
      </c>
      <c r="G32" s="11">
        <v>300.92</v>
      </c>
      <c r="H32" s="11">
        <v>300.92</v>
      </c>
      <c r="I32" s="11">
        <v>300.92</v>
      </c>
      <c r="J32" s="11">
        <v>300.92</v>
      </c>
      <c r="K32" s="11">
        <v>300.92</v>
      </c>
      <c r="L32" s="11">
        <v>300.92</v>
      </c>
      <c r="M32" s="11">
        <v>396.83</v>
      </c>
      <c r="N32" s="11">
        <f t="shared" si="17"/>
        <v>3706.9500000000003</v>
      </c>
    </row>
    <row r="33" spans="1:14" ht="22.5" customHeight="1" thickBot="1" x14ac:dyDescent="0.3">
      <c r="A33" s="4" t="s">
        <v>6</v>
      </c>
      <c r="B33" s="11">
        <f>2659.7*2.34</f>
        <v>6223.6979999999994</v>
      </c>
      <c r="C33" s="11">
        <f t="shared" ref="C33:J33" si="21">2659.7*2.34</f>
        <v>6223.6979999999994</v>
      </c>
      <c r="D33" s="11">
        <f t="shared" si="21"/>
        <v>6223.6979999999994</v>
      </c>
      <c r="E33" s="11">
        <f t="shared" si="21"/>
        <v>6223.6979999999994</v>
      </c>
      <c r="F33" s="11">
        <f t="shared" si="21"/>
        <v>6223.6979999999994</v>
      </c>
      <c r="G33" s="11">
        <f t="shared" si="21"/>
        <v>6223.6979999999994</v>
      </c>
      <c r="H33" s="11">
        <f t="shared" si="21"/>
        <v>6223.6979999999994</v>
      </c>
      <c r="I33" s="11">
        <f t="shared" si="21"/>
        <v>6223.6979999999994</v>
      </c>
      <c r="J33" s="11">
        <f t="shared" si="21"/>
        <v>6223.6979999999994</v>
      </c>
      <c r="K33" s="11">
        <f>2659.7*2.74</f>
        <v>7287.5780000000004</v>
      </c>
      <c r="L33" s="11">
        <f t="shared" ref="L33:M33" si="22">2659.7*2.74</f>
        <v>7287.5780000000004</v>
      </c>
      <c r="M33" s="11">
        <f t="shared" si="22"/>
        <v>7287.5780000000004</v>
      </c>
      <c r="N33" s="11">
        <f t="shared" si="17"/>
        <v>77876.015999999974</v>
      </c>
    </row>
    <row r="34" spans="1:14" ht="24.75" customHeight="1" thickBot="1" x14ac:dyDescent="0.3">
      <c r="A34" s="4" t="s">
        <v>26</v>
      </c>
      <c r="B34" s="11">
        <f>1140</f>
        <v>1140</v>
      </c>
      <c r="C34" s="11">
        <f>1140</f>
        <v>1140</v>
      </c>
      <c r="D34" s="11">
        <f>1140</f>
        <v>1140</v>
      </c>
      <c r="E34" s="11">
        <f>1140</f>
        <v>1140</v>
      </c>
      <c r="F34" s="11">
        <f>1140</f>
        <v>1140</v>
      </c>
      <c r="G34" s="11">
        <v>900</v>
      </c>
      <c r="H34" s="11">
        <v>900</v>
      </c>
      <c r="I34" s="11">
        <v>900</v>
      </c>
      <c r="J34" s="11">
        <v>900</v>
      </c>
      <c r="K34" s="11">
        <f>900</f>
        <v>900</v>
      </c>
      <c r="L34" s="11">
        <f>900</f>
        <v>900</v>
      </c>
      <c r="M34" s="11">
        <f>900</f>
        <v>900</v>
      </c>
      <c r="N34" s="11">
        <f t="shared" si="17"/>
        <v>12000</v>
      </c>
    </row>
    <row r="35" spans="1:14" ht="24.75" customHeight="1" thickBot="1" x14ac:dyDescent="0.3">
      <c r="A35" s="4" t="s">
        <v>14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f>8788.61</f>
        <v>8788.61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 t="shared" si="17"/>
        <v>8788.61</v>
      </c>
    </row>
    <row r="36" spans="1:14" ht="24" customHeight="1" thickBot="1" x14ac:dyDescent="0.3">
      <c r="A36" s="4" t="s">
        <v>10</v>
      </c>
      <c r="B36" s="11">
        <v>0</v>
      </c>
      <c r="C36" s="11">
        <f>2000</f>
        <v>2000</v>
      </c>
      <c r="D36" s="11">
        <f>1650+655.9</f>
        <v>2305.9</v>
      </c>
      <c r="E36" s="11">
        <f>1602.1+1588.6</f>
        <v>3190.7</v>
      </c>
      <c r="F36" s="11">
        <f>1539.9+34650</f>
        <v>36189.9</v>
      </c>
      <c r="G36" s="11">
        <f>46123.14</f>
        <v>46123.14</v>
      </c>
      <c r="H36" s="11">
        <f>14833.4+6200</f>
        <v>21033.4</v>
      </c>
      <c r="I36" s="11">
        <f>1122.4+4254.3</f>
        <v>5376.7000000000007</v>
      </c>
      <c r="J36" s="11">
        <f>4442.5+8657.6+85</f>
        <v>13185.1</v>
      </c>
      <c r="K36" s="11">
        <f>1542.2</f>
        <v>1542.2</v>
      </c>
      <c r="L36" s="11">
        <f>85</f>
        <v>85</v>
      </c>
      <c r="M36" s="11">
        <f>330.5+696.3</f>
        <v>1026.8</v>
      </c>
      <c r="N36" s="11">
        <f t="shared" si="17"/>
        <v>132058.84</v>
      </c>
    </row>
    <row r="37" spans="1:14" ht="22.5" customHeight="1" thickBot="1" x14ac:dyDescent="0.3">
      <c r="A37" s="9" t="s">
        <v>24</v>
      </c>
      <c r="B37" s="10">
        <f t="shared" ref="B37:M37" si="23">SUM(B24:B36)</f>
        <v>35461.366449999994</v>
      </c>
      <c r="C37" s="10">
        <f t="shared" si="23"/>
        <v>39104.77012999999</v>
      </c>
      <c r="D37" s="10">
        <f t="shared" si="23"/>
        <v>36352.492899999997</v>
      </c>
      <c r="E37" s="10">
        <f t="shared" si="23"/>
        <v>45208.806949999991</v>
      </c>
      <c r="F37" s="10">
        <f t="shared" si="23"/>
        <v>77569.095919999992</v>
      </c>
      <c r="G37" s="10">
        <f t="shared" si="23"/>
        <v>80252.773989999987</v>
      </c>
      <c r="H37" s="10">
        <f t="shared" si="23"/>
        <v>66869.600550000003</v>
      </c>
      <c r="I37" s="10">
        <f t="shared" si="23"/>
        <v>45987.917229999992</v>
      </c>
      <c r="J37" s="10">
        <f t="shared" si="23"/>
        <v>50867.723569999995</v>
      </c>
      <c r="K37" s="10">
        <f t="shared" si="23"/>
        <v>48258.101099999993</v>
      </c>
      <c r="L37" s="10">
        <f t="shared" si="23"/>
        <v>43180.929129999997</v>
      </c>
      <c r="M37" s="10">
        <f t="shared" si="23"/>
        <v>44931.83021</v>
      </c>
      <c r="N37" s="10">
        <f>SUM(B37:M37)</f>
        <v>614045.40813</v>
      </c>
    </row>
    <row r="38" spans="1:14" ht="23.25" customHeight="1" thickBot="1" x14ac:dyDescent="0.3">
      <c r="A38" s="4" t="s">
        <v>5</v>
      </c>
      <c r="B38" s="18">
        <f t="shared" ref="B38:N38" si="24">B15-B37</f>
        <v>10993.163550000005</v>
      </c>
      <c r="C38" s="18">
        <f t="shared" si="24"/>
        <v>-2421.1401299999925</v>
      </c>
      <c r="D38" s="18">
        <f t="shared" si="24"/>
        <v>-3042.6728999999978</v>
      </c>
      <c r="E38" s="18">
        <f t="shared" si="24"/>
        <v>8897.8230500000063</v>
      </c>
      <c r="F38" s="18">
        <f t="shared" si="24"/>
        <v>-14361.995919999987</v>
      </c>
      <c r="G38" s="18">
        <f t="shared" si="24"/>
        <v>-36541.973989999977</v>
      </c>
      <c r="H38" s="18">
        <f t="shared" si="24"/>
        <v>-30496.420550000003</v>
      </c>
      <c r="I38" s="18">
        <f t="shared" si="24"/>
        <v>-5866.827229999988</v>
      </c>
      <c r="J38" s="18">
        <f t="shared" si="24"/>
        <v>-16827.803569999996</v>
      </c>
      <c r="K38" s="18">
        <f t="shared" si="24"/>
        <v>-8761.6210999999967</v>
      </c>
      <c r="L38" s="18">
        <f t="shared" si="24"/>
        <v>12739.990869999994</v>
      </c>
      <c r="M38" s="18">
        <f t="shared" si="24"/>
        <v>-427.48021000000153</v>
      </c>
      <c r="N38" s="11">
        <f t="shared" si="24"/>
        <v>-86116.958130000043</v>
      </c>
    </row>
    <row r="39" spans="1:14" ht="23.25" customHeight="1" thickBot="1" x14ac:dyDescent="0.3">
      <c r="A39" s="4" t="s">
        <v>7</v>
      </c>
      <c r="B39" s="14">
        <f>B5+B38</f>
        <v>-457851.58645</v>
      </c>
      <c r="C39" s="19">
        <f>B39+C38</f>
        <v>-460272.72658000002</v>
      </c>
      <c r="D39" s="19">
        <f>C39+D38</f>
        <v>-463315.39948000002</v>
      </c>
      <c r="E39" s="14">
        <f>D39+E38</f>
        <v>-454417.57643000002</v>
      </c>
      <c r="F39" s="19">
        <f>E39+F38</f>
        <v>-468779.57235000003</v>
      </c>
      <c r="G39" s="19">
        <f>F39+G38</f>
        <v>-505321.54634</v>
      </c>
      <c r="H39" s="19">
        <f t="shared" ref="H39:J39" si="25">G39+H38</f>
        <v>-535817.96689000004</v>
      </c>
      <c r="I39" s="19">
        <f t="shared" si="25"/>
        <v>-541684.79411999998</v>
      </c>
      <c r="J39" s="19">
        <f t="shared" si="25"/>
        <v>-558512.59768999997</v>
      </c>
      <c r="K39" s="19">
        <f t="shared" ref="K39" si="26">J39+K38</f>
        <v>-567274.21878999996</v>
      </c>
      <c r="L39" s="19">
        <f t="shared" ref="L39" si="27">K39+L38</f>
        <v>-554534.22791999998</v>
      </c>
      <c r="M39" s="19">
        <f t="shared" ref="M39" si="28">L39+M38</f>
        <v>-554961.70812999993</v>
      </c>
      <c r="N39" s="18">
        <f>N5+N38</f>
        <v>-554961.70813000004</v>
      </c>
    </row>
    <row r="40" spans="1:14" ht="27" customHeight="1" thickBot="1" x14ac:dyDescent="0.3">
      <c r="A40" s="15" t="s">
        <v>11</v>
      </c>
      <c r="B40" s="20">
        <f t="shared" ref="B40:D40" si="29">B6+B15-B7</f>
        <v>-140135.85999999999</v>
      </c>
      <c r="C40" s="20">
        <f t="shared" si="29"/>
        <v>-149694.69999999998</v>
      </c>
      <c r="D40" s="20">
        <f t="shared" si="29"/>
        <v>-164540.43</v>
      </c>
      <c r="E40" s="20">
        <f>E6+E15-E7</f>
        <v>-155552.19999999998</v>
      </c>
      <c r="F40" s="20">
        <f>F6+F15-F7</f>
        <v>-144886.30999999997</v>
      </c>
      <c r="G40" s="20">
        <f>G6+G15-G7</f>
        <v>-152713.12999999995</v>
      </c>
      <c r="H40" s="20">
        <f t="shared" ref="H40:M40" si="30">H6+H15-H7</f>
        <v>-161458.34999999995</v>
      </c>
      <c r="I40" s="20">
        <f t="shared" si="30"/>
        <v>-166060.31999999995</v>
      </c>
      <c r="J40" s="20">
        <f t="shared" si="30"/>
        <v>-180343.14999999997</v>
      </c>
      <c r="K40" s="20">
        <f t="shared" si="30"/>
        <v>-193384.56999999998</v>
      </c>
      <c r="L40" s="20">
        <f t="shared" si="30"/>
        <v>-197715.63</v>
      </c>
      <c r="M40" s="20">
        <f t="shared" si="30"/>
        <v>-209162.05</v>
      </c>
      <c r="N40" s="17">
        <f t="shared" ref="N40" si="31">N6+N15-N7</f>
        <v>-209162.05000000005</v>
      </c>
    </row>
    <row r="41" spans="1:14" ht="21.75" hidden="1" customHeight="1" thickBot="1" x14ac:dyDescent="0.35">
      <c r="A41" s="25" t="s">
        <v>28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2"/>
    </row>
    <row r="42" spans="1:14" ht="19.5" hidden="1" customHeight="1" thickBot="1" x14ac:dyDescent="0.35">
      <c r="A42" s="25" t="s">
        <v>11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2">
        <f>N40+N41</f>
        <v>-209162.05000000005</v>
      </c>
    </row>
  </sheetData>
  <mergeCells count="3">
    <mergeCell ref="A1:N1"/>
    <mergeCell ref="A41:M41"/>
    <mergeCell ref="A42:M42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2023-03-03T08:52:32Z</cp:lastPrinted>
  <dcterms:created xsi:type="dcterms:W3CDTF">2011-06-06T03:25:48Z</dcterms:created>
  <dcterms:modified xsi:type="dcterms:W3CDTF">2023-03-03T09:00:53Z</dcterms:modified>
</cp:coreProperties>
</file>