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2" sheetId="1" r:id="rId1"/>
  </sheets>
  <calcPr calcId="144525" refMode="R1C1"/>
</workbook>
</file>

<file path=xl/calcChain.xml><?xml version="1.0" encoding="utf-8"?>
<calcChain xmlns="http://schemas.openxmlformats.org/spreadsheetml/2006/main">
  <c r="M23" i="1" l="1"/>
  <c r="M21" i="1"/>
  <c r="M20" i="1"/>
  <c r="M14" i="1"/>
  <c r="M11" i="1"/>
  <c r="M18" i="1"/>
  <c r="M9" i="1"/>
  <c r="L23" i="1"/>
  <c r="L21" i="1"/>
  <c r="L20" i="1"/>
  <c r="L14" i="1"/>
  <c r="L12" i="1"/>
  <c r="L11" i="1"/>
  <c r="L18" i="1"/>
  <c r="L9" i="1"/>
  <c r="K14" i="1"/>
  <c r="K11" i="1"/>
  <c r="K9" i="1"/>
  <c r="N24" i="1" l="1"/>
  <c r="M38" i="1" l="1"/>
  <c r="L38" i="1" l="1"/>
  <c r="K38" i="1" l="1"/>
  <c r="M29" i="1" l="1"/>
  <c r="M17" i="1"/>
  <c r="M28" i="1"/>
  <c r="M8" i="1"/>
  <c r="K40" i="1" l="1"/>
  <c r="L29" i="1" l="1"/>
  <c r="L17" i="1"/>
  <c r="L28" i="1"/>
  <c r="L8" i="1"/>
  <c r="J40" i="1" l="1"/>
  <c r="K29" i="1" l="1"/>
  <c r="K17" i="1"/>
  <c r="K28" i="1"/>
  <c r="K8" i="1" l="1"/>
  <c r="K35" i="1" l="1"/>
  <c r="L35" i="1"/>
  <c r="M35" i="1"/>
  <c r="K30" i="1"/>
  <c r="L30" i="1"/>
  <c r="M30" i="1"/>
  <c r="K27" i="1"/>
  <c r="L27" i="1"/>
  <c r="M27" i="1"/>
  <c r="M26" i="1"/>
  <c r="L26" i="1"/>
  <c r="K26" i="1"/>
  <c r="J14" i="1" l="1"/>
  <c r="J12" i="1"/>
  <c r="J11" i="1"/>
  <c r="J9" i="1"/>
  <c r="I23" i="1"/>
  <c r="I19" i="1"/>
  <c r="I20" i="1"/>
  <c r="I22" i="1"/>
  <c r="I14" i="1"/>
  <c r="I11" i="1"/>
  <c r="I18" i="1"/>
  <c r="I9" i="1"/>
  <c r="H23" i="1"/>
  <c r="H19" i="1"/>
  <c r="H20" i="1"/>
  <c r="H22" i="1"/>
  <c r="H14" i="1"/>
  <c r="H11" i="1"/>
  <c r="H13" i="1"/>
  <c r="H9" i="1"/>
  <c r="I38" i="1" l="1"/>
  <c r="H40" i="1" l="1"/>
  <c r="H38" i="1" l="1"/>
  <c r="G38" i="1" l="1"/>
  <c r="I40" i="1" l="1"/>
  <c r="I30" i="1" l="1"/>
  <c r="J30" i="1"/>
  <c r="H30" i="1"/>
  <c r="J29" i="1" l="1"/>
  <c r="J17" i="1"/>
  <c r="J28" i="1"/>
  <c r="J8" i="1"/>
  <c r="H35" i="1"/>
  <c r="I35" i="1"/>
  <c r="J35" i="1"/>
  <c r="H27" i="1"/>
  <c r="I27" i="1"/>
  <c r="J27" i="1"/>
  <c r="H26" i="1"/>
  <c r="I26" i="1"/>
  <c r="J26" i="1"/>
  <c r="C27" i="1"/>
  <c r="D27" i="1"/>
  <c r="E27" i="1"/>
  <c r="F27" i="1"/>
  <c r="G27" i="1"/>
  <c r="B27" i="1"/>
  <c r="C26" i="1"/>
  <c r="D26" i="1"/>
  <c r="E26" i="1"/>
  <c r="F26" i="1"/>
  <c r="G26" i="1"/>
  <c r="B26" i="1"/>
  <c r="G30" i="1"/>
  <c r="I29" i="1" l="1"/>
  <c r="I17" i="1"/>
  <c r="I28" i="1"/>
  <c r="I8" i="1"/>
  <c r="H29" i="1" l="1"/>
  <c r="H17" i="1"/>
  <c r="H28" i="1"/>
  <c r="H8" i="1"/>
  <c r="G14" i="1" l="1"/>
  <c r="G10" i="1"/>
  <c r="G11" i="1"/>
  <c r="G13" i="1"/>
  <c r="G9" i="1"/>
  <c r="F23" i="1"/>
  <c r="F21" i="1"/>
  <c r="F20" i="1"/>
  <c r="F22" i="1"/>
  <c r="F14" i="1"/>
  <c r="F10" i="1"/>
  <c r="F11" i="1"/>
  <c r="F13" i="1"/>
  <c r="F18" i="1"/>
  <c r="F9" i="1"/>
  <c r="E14" i="1"/>
  <c r="E12" i="1"/>
  <c r="E11" i="1"/>
  <c r="E13" i="1"/>
  <c r="E9" i="1"/>
  <c r="G40" i="1" l="1"/>
  <c r="F31" i="1" l="1"/>
  <c r="F38" i="1" l="1"/>
  <c r="E38" i="1" l="1"/>
  <c r="G29" i="1" l="1"/>
  <c r="G17" i="1"/>
  <c r="G28" i="1"/>
  <c r="G8" i="1"/>
  <c r="F40" i="1" l="1"/>
  <c r="F29" i="1" l="1"/>
  <c r="F17" i="1"/>
  <c r="F28" i="1"/>
  <c r="F8" i="1"/>
  <c r="E40" i="1" l="1"/>
  <c r="E29" i="1" l="1"/>
  <c r="E17" i="1"/>
  <c r="E28" i="1"/>
  <c r="E8" i="1"/>
  <c r="E35" i="1" l="1"/>
  <c r="F35" i="1"/>
  <c r="G35" i="1"/>
  <c r="E30" i="1"/>
  <c r="F30" i="1"/>
  <c r="D23" i="1" l="1"/>
  <c r="D21" i="1"/>
  <c r="D20" i="1"/>
  <c r="D22" i="1"/>
  <c r="D14" i="1"/>
  <c r="D12" i="1"/>
  <c r="D11" i="1"/>
  <c r="D13" i="1"/>
  <c r="D9" i="1"/>
  <c r="C23" i="1"/>
  <c r="C19" i="1"/>
  <c r="C21" i="1"/>
  <c r="C20" i="1"/>
  <c r="C22" i="1"/>
  <c r="C14" i="1"/>
  <c r="C12" i="1"/>
  <c r="C11" i="1"/>
  <c r="C13" i="1"/>
  <c r="C9" i="1"/>
  <c r="B23" i="1"/>
  <c r="B21" i="1"/>
  <c r="B20" i="1"/>
  <c r="B22" i="1"/>
  <c r="B14" i="1"/>
  <c r="B12" i="1"/>
  <c r="B11" i="1"/>
  <c r="B13" i="1"/>
  <c r="B18" i="1"/>
  <c r="B9" i="1"/>
  <c r="D38" i="1" l="1"/>
  <c r="C38" i="1" l="1"/>
  <c r="B38" i="1" l="1"/>
  <c r="C40" i="1" l="1"/>
  <c r="D29" i="1" l="1"/>
  <c r="D17" i="1"/>
  <c r="D28" i="1"/>
  <c r="D8" i="1"/>
  <c r="C35" i="1"/>
  <c r="D35" i="1"/>
  <c r="B35" i="1"/>
  <c r="C30" i="1"/>
  <c r="D30" i="1"/>
  <c r="B30" i="1"/>
  <c r="C29" i="1" l="1"/>
  <c r="C17" i="1"/>
  <c r="C28" i="1"/>
  <c r="C8" i="1"/>
  <c r="B29" i="1" l="1"/>
  <c r="B17" i="1"/>
  <c r="B28" i="1"/>
  <c r="B8" i="1"/>
  <c r="N37" i="1" l="1"/>
  <c r="J16" i="1" l="1"/>
  <c r="N15" i="1" l="1"/>
  <c r="N6" i="1" l="1"/>
  <c r="N5" i="1"/>
  <c r="N27" i="1"/>
  <c r="N26" i="1"/>
  <c r="N9" i="1"/>
  <c r="M16" i="1" l="1"/>
  <c r="N30" i="1"/>
  <c r="N31" i="1"/>
  <c r="N32" i="1"/>
  <c r="N33" i="1"/>
  <c r="N34" i="1"/>
  <c r="N35" i="1"/>
  <c r="N36" i="1"/>
  <c r="N38" i="1"/>
  <c r="N39" i="1"/>
  <c r="K16" i="1"/>
  <c r="L16" i="1"/>
  <c r="M41" i="1" l="1"/>
  <c r="M42" i="1" s="1"/>
  <c r="L41" i="1"/>
  <c r="L42" i="1" s="1"/>
  <c r="K41" i="1"/>
  <c r="K42" i="1" s="1"/>
  <c r="K7" i="1"/>
  <c r="L7" i="1"/>
  <c r="M7" i="1"/>
  <c r="N14" i="1"/>
  <c r="H16" i="1" l="1"/>
  <c r="I16" i="1"/>
  <c r="J41" i="1"/>
  <c r="J42" i="1" s="1"/>
  <c r="H7" i="1"/>
  <c r="I7" i="1"/>
  <c r="J7" i="1"/>
  <c r="D7" i="1"/>
  <c r="C7" i="1"/>
  <c r="B7" i="1"/>
  <c r="G7" i="1"/>
  <c r="N28" i="1"/>
  <c r="N18" i="1"/>
  <c r="N17" i="1"/>
  <c r="N22" i="1"/>
  <c r="N21" i="1"/>
  <c r="N20" i="1"/>
  <c r="N8" i="1"/>
  <c r="N13" i="1"/>
  <c r="N12" i="1"/>
  <c r="N11" i="1"/>
  <c r="N10" i="1"/>
  <c r="D16" i="1"/>
  <c r="C16" i="1"/>
  <c r="B16" i="1"/>
  <c r="H41" i="1" l="1"/>
  <c r="H42" i="1" s="1"/>
  <c r="C41" i="1"/>
  <c r="C42" i="1" s="1"/>
  <c r="N40" i="1"/>
  <c r="N19" i="1"/>
  <c r="N23" i="1"/>
  <c r="N29" i="1"/>
  <c r="E7" i="1"/>
  <c r="F7" i="1"/>
  <c r="F16" i="1"/>
  <c r="G16" i="1"/>
  <c r="G41" i="1" s="1"/>
  <c r="G42" i="1" s="1"/>
  <c r="E16" i="1"/>
  <c r="I41" i="1"/>
  <c r="I42" i="1" s="1"/>
  <c r="B44" i="1"/>
  <c r="C6" i="1" s="1"/>
  <c r="C44" i="1" s="1"/>
  <c r="D6" i="1" s="1"/>
  <c r="D44" i="1" s="1"/>
  <c r="E6" i="1" s="1"/>
  <c r="N7" i="1" l="1"/>
  <c r="E41" i="1"/>
  <c r="E42" i="1" s="1"/>
  <c r="N16" i="1"/>
  <c r="F41" i="1"/>
  <c r="F42" i="1" s="1"/>
  <c r="B41" i="1"/>
  <c r="E44" i="1"/>
  <c r="F6" i="1" s="1"/>
  <c r="F44" i="1" s="1"/>
  <c r="G6" i="1" s="1"/>
  <c r="G44" i="1" s="1"/>
  <c r="D41" i="1"/>
  <c r="D42" i="1" s="1"/>
  <c r="H6" i="1" l="1"/>
  <c r="H44" i="1" s="1"/>
  <c r="I6" i="1" s="1"/>
  <c r="I44" i="1" s="1"/>
  <c r="J6" i="1" s="1"/>
  <c r="J44" i="1" s="1"/>
  <c r="K6" i="1" s="1"/>
  <c r="K44" i="1" s="1"/>
  <c r="L6" i="1" s="1"/>
  <c r="L44" i="1" s="1"/>
  <c r="M6" i="1" s="1"/>
  <c r="M44" i="1" s="1"/>
  <c r="N44" i="1"/>
  <c r="B42" i="1"/>
  <c r="B43" i="1" s="1"/>
  <c r="N41" i="1"/>
  <c r="N42" i="1" s="1"/>
  <c r="N43" i="1" s="1"/>
  <c r="C43" i="1" l="1"/>
  <c r="C5" i="1"/>
  <c r="D5" i="1" l="1"/>
  <c r="D43" i="1"/>
  <c r="E5" i="1" l="1"/>
  <c r="E43" i="1"/>
  <c r="F5" i="1" l="1"/>
  <c r="F43" i="1"/>
  <c r="G5" i="1" s="1"/>
  <c r="G43" i="1" s="1"/>
  <c r="H5" i="1" l="1"/>
  <c r="H43" i="1" s="1"/>
  <c r="I5" i="1" s="1"/>
  <c r="I43" i="1" s="1"/>
  <c r="J5" i="1" s="1"/>
  <c r="J43" i="1" s="1"/>
  <c r="K5" i="1" s="1"/>
  <c r="K43" i="1" s="1"/>
  <c r="L5" i="1" s="1"/>
  <c r="L43" i="1" s="1"/>
  <c r="M5" i="1" s="1"/>
  <c r="M43" i="1" s="1"/>
</calcChain>
</file>

<file path=xl/sharedStrings.xml><?xml version="1.0" encoding="utf-8"?>
<sst xmlns="http://schemas.openxmlformats.org/spreadsheetml/2006/main" count="55" uniqueCount="45">
  <si>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</si>
  <si>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</si>
  <si>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</si>
  <si>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</si>
  <si>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</si>
  <si>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</si>
  <si>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</si>
  <si>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</si>
  <si>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</si>
  <si>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</si>
  <si>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</si>
  <si>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</si>
  <si>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</si>
  <si>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</si>
  <si>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Тех.обслуживание газового оборудования</t>
  </si>
  <si>
    <t>Дополнительный доход (использование общего имущества)</t>
  </si>
  <si>
    <t>Средства на счете дома на начало периода</t>
  </si>
  <si>
    <t>Содержание жилья и текущий ремонт /нежилые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</si>
  <si>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</si>
  <si>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</si>
  <si>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</si>
  <si>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</si>
  <si>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</si>
  <si>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</si>
  <si>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</si>
  <si>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</si>
  <si>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Тех.обслуживание приборов учета</t>
  </si>
  <si>
    <t>Отведение сточных вод ОИ</t>
  </si>
  <si>
    <t>ЕИРКЦ (ведение счета по кап.ремонту)</t>
  </si>
  <si>
    <t>Содержание жилья и текущий ремонт,  ОПУ</t>
  </si>
  <si>
    <t>Январь 2022г.</t>
  </si>
  <si>
    <t>Февраль 2022г.</t>
  </si>
  <si>
    <t>Март 2022г.</t>
  </si>
  <si>
    <t>Апрель 2022г.</t>
  </si>
  <si>
    <t>Май 2022г.</t>
  </si>
  <si>
    <t>Июнь 2022г.</t>
  </si>
  <si>
    <t>Июль 2022г</t>
  </si>
  <si>
    <t>Август 2022г</t>
  </si>
  <si>
    <t>Сентябрь 2022г</t>
  </si>
  <si>
    <t>Октябрь 2022г</t>
  </si>
  <si>
    <t>Ноябрь 2022г.</t>
  </si>
  <si>
    <t>Декабрь 2022г.</t>
  </si>
  <si>
    <t>Всего:                       за  2022г</t>
  </si>
  <si>
    <t xml:space="preserve">                 ОТЧЕТ по дому Васильева, 55 за период 01.01.2022г. по 31.12.2022г.</t>
  </si>
  <si>
    <t>Возмещение расходов совета МКД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</si>
</sst>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5" fillId="0" borderId="2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4"/>
  <sheetViews>
    <sheetView tabSelected="1" topLeftCell="A25" zoomScale="75" workbookViewId="0">
      <selection activeCell="A34" sqref="A34"/>
    </sheetView>
  </sheetViews>
  <sheetFormatPr defaultRowHeight="13.2" x14ac:dyDescent="0.25"/>
  <cols>
    <col min="1" max="1" width="58.6640625" customWidth="1"/>
    <col min="2" max="2" width="14.109375" customWidth="1"/>
    <col min="3" max="3" width="13.33203125" customWidth="1"/>
    <col min="4" max="5" width="13.44140625" customWidth="1"/>
    <col min="6" max="6" width="13.33203125" customWidth="1"/>
    <col min="7" max="7" width="13.88671875" customWidth="1"/>
    <col min="8" max="8" width="13.33203125" customWidth="1"/>
    <col min="9" max="9" width="13.5546875" customWidth="1"/>
    <col min="10" max="10" width="14.109375" customWidth="1"/>
    <col min="11" max="11" width="13.88671875" customWidth="1"/>
    <col min="12" max="12" width="14" customWidth="1"/>
    <col min="13" max="13" width="13.5546875" customWidth="1"/>
    <col min="14" max="14" width="15.77734375" customWidth="1"/>
  </cols>
  <sheetData>
    <row r="1" spans="1:18" ht="20.25" customHeight="1" x14ac:dyDescent="0.35">
      <c r="A1" s="22" t="s">
        <v>43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30</v>
      </c>
      <c r="C4" s="6" t="s">
        <v>31</v>
      </c>
      <c r="D4" s="6" t="s">
        <v>32</v>
      </c>
      <c r="E4" s="6" t="s">
        <v>33</v>
      </c>
      <c r="F4" s="6" t="s">
        <v>34</v>
      </c>
      <c r="G4" s="6" t="s">
        <v>35</v>
      </c>
      <c r="H4" s="6" t="s">
        <v>36</v>
      </c>
      <c r="I4" s="6" t="s">
        <v>37</v>
      </c>
      <c r="J4" s="6" t="s">
        <v>38</v>
      </c>
      <c r="K4" s="6" t="s">
        <v>39</v>
      </c>
      <c r="L4" s="6" t="s">
        <v>40</v>
      </c>
      <c r="M4" s="6" t="s">
        <v>41</v>
      </c>
      <c r="N4" s="6" t="s">
        <v>42</v>
      </c>
    </row>
    <row r="5" spans="1:18" ht="23.25" customHeight="1" thickBot="1" x14ac:dyDescent="0.3">
      <c r="A5" s="7" t="s">
        <v>16</v>
      </c>
      <c r="B5" s="8">
        <v>-233928.78</v>
      </c>
      <c r="C5" s="8">
        <f t="shared" ref="C5:D6" si="0">B43</f>
        <v>-196560.52435000002</v>
      </c>
      <c r="D5" s="8">
        <f t="shared" si="0"/>
        <v>-218607.27215000003</v>
      </c>
      <c r="E5" s="8">
        <f t="shared" ref="E5:G6" si="1">D43</f>
        <v>-214198.99028000003</v>
      </c>
      <c r="F5" s="8">
        <f t="shared" si="1"/>
        <v>-223028.15596000003</v>
      </c>
      <c r="G5" s="8">
        <f t="shared" si="1"/>
        <v>-208030.35275000002</v>
      </c>
      <c r="H5" s="8">
        <f t="shared" ref="H5:H6" si="2">G43</f>
        <v>-263215.69047999999</v>
      </c>
      <c r="I5" s="8">
        <f t="shared" ref="I5:I6" si="3">H43</f>
        <v>-252440.68263999998</v>
      </c>
      <c r="J5" s="8">
        <f t="shared" ref="J5:J6" si="4">I43</f>
        <v>-256914.50360999999</v>
      </c>
      <c r="K5" s="8">
        <f t="shared" ref="K5:K6" si="5">J43</f>
        <v>-288182.92311999999</v>
      </c>
      <c r="L5" s="8">
        <f t="shared" ref="L5:L6" si="6">K43</f>
        <v>-298782.57886999997</v>
      </c>
      <c r="M5" s="8">
        <f t="shared" ref="M5:M6" si="7">L43</f>
        <v>-263506.83167999994</v>
      </c>
      <c r="N5" s="8">
        <f>B5</f>
        <v>-233928.78</v>
      </c>
    </row>
    <row r="6" spans="1:18" ht="21" customHeight="1" thickBot="1" x14ac:dyDescent="0.3">
      <c r="A6" s="7" t="s">
        <v>13</v>
      </c>
      <c r="B6" s="8">
        <v>-330018.78000000003</v>
      </c>
      <c r="C6" s="8">
        <f t="shared" si="0"/>
        <v>-309849.65000000002</v>
      </c>
      <c r="D6" s="8">
        <f t="shared" si="0"/>
        <v>-301789.12000000005</v>
      </c>
      <c r="E6" s="8">
        <f t="shared" si="1"/>
        <v>-312702.56000000006</v>
      </c>
      <c r="F6" s="8">
        <f t="shared" si="1"/>
        <v>-332644.79000000004</v>
      </c>
      <c r="G6" s="8">
        <f t="shared" si="1"/>
        <v>-326668.65000000002</v>
      </c>
      <c r="H6" s="8">
        <f t="shared" si="2"/>
        <v>-342145.01</v>
      </c>
      <c r="I6" s="8">
        <f t="shared" si="3"/>
        <v>-338881.41000000003</v>
      </c>
      <c r="J6" s="8">
        <f t="shared" si="4"/>
        <v>-341610.30000000005</v>
      </c>
      <c r="K6" s="8">
        <f t="shared" si="5"/>
        <v>-344533.80000000005</v>
      </c>
      <c r="L6" s="8">
        <f t="shared" si="6"/>
        <v>-350084.96</v>
      </c>
      <c r="M6" s="8">
        <f t="shared" si="7"/>
        <v>-334496.62</v>
      </c>
      <c r="N6" s="8">
        <f>B6</f>
        <v>-330018.78000000003</v>
      </c>
    </row>
    <row r="7" spans="1:18" ht="20.25" customHeight="1" thickBot="1" x14ac:dyDescent="0.3">
      <c r="A7" s="9" t="s">
        <v>12</v>
      </c>
      <c r="B7" s="10">
        <f t="shared" ref="B7:M7" si="8">SUM(B8:B15)</f>
        <v>78514.790000000008</v>
      </c>
      <c r="C7" s="10">
        <f t="shared" si="8"/>
        <v>81507.860000000015</v>
      </c>
      <c r="D7" s="10">
        <f t="shared" si="8"/>
        <v>85799.96</v>
      </c>
      <c r="E7" s="10">
        <f t="shared" si="8"/>
        <v>89518.200000000012</v>
      </c>
      <c r="F7" s="10">
        <f t="shared" si="8"/>
        <v>81561.600000000006</v>
      </c>
      <c r="G7" s="10">
        <f t="shared" si="8"/>
        <v>89883.53</v>
      </c>
      <c r="H7" s="10">
        <f t="shared" si="8"/>
        <v>77641.700000000012</v>
      </c>
      <c r="I7" s="10">
        <f t="shared" si="8"/>
        <v>80695.5</v>
      </c>
      <c r="J7" s="10">
        <f t="shared" si="8"/>
        <v>81640.63</v>
      </c>
      <c r="K7" s="10">
        <f t="shared" si="8"/>
        <v>78371.810000000012</v>
      </c>
      <c r="L7" s="10">
        <f t="shared" si="8"/>
        <v>85724.49</v>
      </c>
      <c r="M7" s="10">
        <f t="shared" si="8"/>
        <v>81381.97</v>
      </c>
      <c r="N7" s="10">
        <f>SUM(B7:M7)</f>
        <v>992242.04000000015</v>
      </c>
    </row>
    <row r="8" spans="1:18" ht="24.75" customHeight="1" thickBot="1" x14ac:dyDescent="0.3">
      <c r="A8" s="4" t="s">
        <v>29</v>
      </c>
      <c r="B8" s="11">
        <f>63029.82+1614.3</f>
        <v>64644.12</v>
      </c>
      <c r="C8" s="11">
        <f t="shared" ref="C8:H8" si="9">63249.3+1614.3</f>
        <v>64863.600000000006</v>
      </c>
      <c r="D8" s="11">
        <f t="shared" si="9"/>
        <v>64863.600000000006</v>
      </c>
      <c r="E8" s="11">
        <f t="shared" si="9"/>
        <v>64863.600000000006</v>
      </c>
      <c r="F8" s="11">
        <f t="shared" si="9"/>
        <v>64863.600000000006</v>
      </c>
      <c r="G8" s="11">
        <f t="shared" si="9"/>
        <v>64863.600000000006</v>
      </c>
      <c r="H8" s="11">
        <f t="shared" si="9"/>
        <v>64863.600000000006</v>
      </c>
      <c r="I8" s="11">
        <f>63249.3+1323.78</f>
        <v>64573.08</v>
      </c>
      <c r="J8" s="11">
        <f>63249.3+1323.78</f>
        <v>64573.08</v>
      </c>
      <c r="K8" s="11">
        <f>63249.3+1323.78</f>
        <v>64573.08</v>
      </c>
      <c r="L8" s="11">
        <f>63249.3+1323.78</f>
        <v>64573.08</v>
      </c>
      <c r="M8" s="11">
        <f>63249.3+1323.78</f>
        <v>64573.08</v>
      </c>
      <c r="N8" s="11">
        <f t="shared" ref="N8:N15" si="10">SUM(B8:M8)</f>
        <v>776691.11999999988</v>
      </c>
    </row>
    <row r="9" spans="1:18" ht="24.75" customHeight="1" thickBot="1" x14ac:dyDescent="0.3">
      <c r="A9" s="4" t="s">
        <v>17</v>
      </c>
      <c r="B9" s="11">
        <f t="shared" ref="B9:G9" si="11">1672.14+2334.3</f>
        <v>4006.4400000000005</v>
      </c>
      <c r="C9" s="11">
        <f t="shared" si="11"/>
        <v>4006.4400000000005</v>
      </c>
      <c r="D9" s="11">
        <f t="shared" si="11"/>
        <v>4006.4400000000005</v>
      </c>
      <c r="E9" s="11">
        <f t="shared" si="11"/>
        <v>4006.4400000000005</v>
      </c>
      <c r="F9" s="11">
        <f t="shared" si="11"/>
        <v>4006.4400000000005</v>
      </c>
      <c r="G9" s="11">
        <f t="shared" si="11"/>
        <v>4006.4400000000005</v>
      </c>
      <c r="H9" s="11">
        <f t="shared" ref="H9:M9" si="12">1672.14+2334.3</f>
        <v>4006.4400000000005</v>
      </c>
      <c r="I9" s="11">
        <f t="shared" si="12"/>
        <v>4006.4400000000005</v>
      </c>
      <c r="J9" s="11">
        <f t="shared" si="12"/>
        <v>4006.4400000000005</v>
      </c>
      <c r="K9" s="11">
        <f t="shared" si="12"/>
        <v>4006.4400000000005</v>
      </c>
      <c r="L9" s="11">
        <f t="shared" si="12"/>
        <v>4006.4400000000005</v>
      </c>
      <c r="M9" s="11">
        <f t="shared" si="12"/>
        <v>4006.4400000000005</v>
      </c>
      <c r="N9" s="11">
        <f t="shared" si="10"/>
        <v>48077.280000000021</v>
      </c>
    </row>
    <row r="10" spans="1:18" ht="24.75" customHeight="1" thickBot="1" x14ac:dyDescent="0.3">
      <c r="A10" s="4" t="s">
        <v>18</v>
      </c>
      <c r="B10" s="11">
        <v>0</v>
      </c>
      <c r="C10" s="11">
        <v>0</v>
      </c>
      <c r="D10" s="11">
        <v>0</v>
      </c>
      <c r="E10" s="11">
        <v>0</v>
      </c>
      <c r="F10" s="11">
        <f>1422.86+37.76</f>
        <v>1460.62</v>
      </c>
      <c r="G10" s="11">
        <f>7035+186.09</f>
        <v>7221.09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f t="shared" si="10"/>
        <v>8681.7099999999991</v>
      </c>
    </row>
    <row r="11" spans="1:18" ht="24.75" customHeight="1" thickBot="1" x14ac:dyDescent="0.3">
      <c r="A11" s="4" t="s">
        <v>19</v>
      </c>
      <c r="B11" s="11">
        <f>1350.53+35.96</f>
        <v>1386.49</v>
      </c>
      <c r="C11" s="11">
        <f>4014.83+106.08</f>
        <v>4120.91</v>
      </c>
      <c r="D11" s="11">
        <f>4243.64+112.38</f>
        <v>4356.0200000000004</v>
      </c>
      <c r="E11" s="11">
        <f>3905.52+103.39</f>
        <v>4008.91</v>
      </c>
      <c r="F11" s="11">
        <f>4231.68+111.48</f>
        <v>4343.16</v>
      </c>
      <c r="G11" s="11">
        <f>6727.52+177.1</f>
        <v>6904.6200000000008</v>
      </c>
      <c r="H11" s="11">
        <f>1835.33+48.55</f>
        <v>1883.8799999999999</v>
      </c>
      <c r="I11" s="11">
        <f>4440.29+117.77</f>
        <v>4558.0600000000004</v>
      </c>
      <c r="J11" s="11">
        <f>2351.69+62.03</f>
        <v>2413.7200000000003</v>
      </c>
      <c r="K11" s="11">
        <f>2837.98+74.62</f>
        <v>2912.6</v>
      </c>
      <c r="L11" s="11">
        <f>4047.14+106.98</f>
        <v>4154.12</v>
      </c>
      <c r="M11" s="11">
        <f>3095.56+81.81</f>
        <v>3177.37</v>
      </c>
      <c r="N11" s="11">
        <f t="shared" si="10"/>
        <v>44219.860000000008</v>
      </c>
    </row>
    <row r="12" spans="1:18" ht="24.75" customHeight="1" thickBot="1" x14ac:dyDescent="0.3">
      <c r="A12" s="4" t="s">
        <v>20</v>
      </c>
      <c r="B12" s="11">
        <f>1548.62+41.35</f>
        <v>1589.9699999999998</v>
      </c>
      <c r="C12" s="11">
        <f>1586.88+42.25</f>
        <v>1629.13</v>
      </c>
      <c r="D12" s="11">
        <f>5539.58+146.54</f>
        <v>5686.12</v>
      </c>
      <c r="E12" s="11">
        <f>9500.65+250.82</f>
        <v>9751.4699999999993</v>
      </c>
      <c r="F12" s="11">
        <v>0</v>
      </c>
      <c r="G12" s="11">
        <v>0</v>
      </c>
      <c r="H12" s="11">
        <v>0</v>
      </c>
      <c r="I12" s="11">
        <v>0</v>
      </c>
      <c r="J12" s="11">
        <f>3670.61+97.09</f>
        <v>3767.7000000000003</v>
      </c>
      <c r="K12" s="11">
        <v>0</v>
      </c>
      <c r="L12" s="11">
        <f>1633.68+87.2</f>
        <v>1720.88</v>
      </c>
      <c r="M12" s="11">
        <v>0</v>
      </c>
      <c r="N12" s="11">
        <f t="shared" si="10"/>
        <v>24145.27</v>
      </c>
    </row>
    <row r="13" spans="1:18" ht="24.75" customHeight="1" thickBot="1" x14ac:dyDescent="0.3">
      <c r="A13" s="4" t="s">
        <v>27</v>
      </c>
      <c r="B13" s="11">
        <f>321.76+8.09</f>
        <v>329.84999999999997</v>
      </c>
      <c r="C13" s="11">
        <f t="shared" ref="C13:H13" si="13">321.77+8.09</f>
        <v>329.85999999999996</v>
      </c>
      <c r="D13" s="11">
        <f t="shared" si="13"/>
        <v>329.85999999999996</v>
      </c>
      <c r="E13" s="11">
        <f t="shared" si="13"/>
        <v>329.85999999999996</v>
      </c>
      <c r="F13" s="11">
        <f t="shared" si="13"/>
        <v>329.85999999999996</v>
      </c>
      <c r="G13" s="11">
        <f t="shared" si="13"/>
        <v>329.85999999999996</v>
      </c>
      <c r="H13" s="11">
        <f t="shared" si="13"/>
        <v>329.85999999999996</v>
      </c>
      <c r="I13" s="11">
        <v>0</v>
      </c>
      <c r="J13" s="11">
        <v>321.77</v>
      </c>
      <c r="K13" s="11">
        <v>321.77</v>
      </c>
      <c r="L13" s="11">
        <v>4712.05</v>
      </c>
      <c r="M13" s="11">
        <v>3067.16</v>
      </c>
      <c r="N13" s="11">
        <f t="shared" si="10"/>
        <v>10731.76</v>
      </c>
    </row>
    <row r="14" spans="1:18" ht="24.75" customHeight="1" thickBot="1" x14ac:dyDescent="0.3">
      <c r="A14" s="4" t="s">
        <v>44</v>
      </c>
      <c r="B14" s="11">
        <f t="shared" ref="B14:G14" si="14">5617.92+70</f>
        <v>5687.92</v>
      </c>
      <c r="C14" s="11">
        <f t="shared" si="14"/>
        <v>5687.92</v>
      </c>
      <c r="D14" s="11">
        <f t="shared" si="14"/>
        <v>5687.92</v>
      </c>
      <c r="E14" s="11">
        <f t="shared" si="14"/>
        <v>5687.92</v>
      </c>
      <c r="F14" s="11">
        <f t="shared" si="14"/>
        <v>5687.92</v>
      </c>
      <c r="G14" s="11">
        <f t="shared" si="14"/>
        <v>5687.92</v>
      </c>
      <c r="H14" s="11">
        <f t="shared" ref="H14:M14" si="15">5617.92+70</f>
        <v>5687.92</v>
      </c>
      <c r="I14" s="11">
        <f t="shared" si="15"/>
        <v>5687.92</v>
      </c>
      <c r="J14" s="11">
        <f t="shared" si="15"/>
        <v>5687.92</v>
      </c>
      <c r="K14" s="11">
        <f t="shared" si="15"/>
        <v>5687.92</v>
      </c>
      <c r="L14" s="11">
        <f t="shared" si="15"/>
        <v>5687.92</v>
      </c>
      <c r="M14" s="11">
        <f t="shared" si="15"/>
        <v>5687.92</v>
      </c>
      <c r="N14" s="11">
        <f t="shared" si="10"/>
        <v>68255.039999999994</v>
      </c>
    </row>
    <row r="15" spans="1:18" ht="24.75" customHeight="1" thickBot="1" x14ac:dyDescent="0.3">
      <c r="A15" s="4" t="s">
        <v>15</v>
      </c>
      <c r="B15" s="11">
        <v>870</v>
      </c>
      <c r="C15" s="11">
        <v>870</v>
      </c>
      <c r="D15" s="11">
        <v>870</v>
      </c>
      <c r="E15" s="11">
        <v>870</v>
      </c>
      <c r="F15" s="11">
        <v>870</v>
      </c>
      <c r="G15" s="11">
        <v>870</v>
      </c>
      <c r="H15" s="11">
        <v>870</v>
      </c>
      <c r="I15" s="11">
        <v>1870</v>
      </c>
      <c r="J15" s="11">
        <v>870</v>
      </c>
      <c r="K15" s="11">
        <v>870</v>
      </c>
      <c r="L15" s="11">
        <v>870</v>
      </c>
      <c r="M15" s="11">
        <v>870</v>
      </c>
      <c r="N15" s="11">
        <f t="shared" si="10"/>
        <v>11440</v>
      </c>
    </row>
    <row r="16" spans="1:18" ht="20.25" customHeight="1" thickBot="1" x14ac:dyDescent="0.3">
      <c r="A16" s="12" t="s">
        <v>8</v>
      </c>
      <c r="B16" s="13">
        <f t="shared" ref="B16:M16" si="16">SUM(B17:B24)</f>
        <v>98683.919999999984</v>
      </c>
      <c r="C16" s="13">
        <f t="shared" si="16"/>
        <v>89568.389999999985</v>
      </c>
      <c r="D16" s="13">
        <f t="shared" si="16"/>
        <v>74886.52</v>
      </c>
      <c r="E16" s="13">
        <f t="shared" si="16"/>
        <v>69575.97</v>
      </c>
      <c r="F16" s="13">
        <f t="shared" si="16"/>
        <v>87537.74</v>
      </c>
      <c r="G16" s="13">
        <f t="shared" si="16"/>
        <v>74407.170000000013</v>
      </c>
      <c r="H16" s="13">
        <f t="shared" si="16"/>
        <v>80905.3</v>
      </c>
      <c r="I16" s="13">
        <f t="shared" si="16"/>
        <v>77966.61</v>
      </c>
      <c r="J16" s="13">
        <f t="shared" si="16"/>
        <v>78717.12999999999</v>
      </c>
      <c r="K16" s="13">
        <f t="shared" si="16"/>
        <v>72820.650000000009</v>
      </c>
      <c r="L16" s="13">
        <f t="shared" si="16"/>
        <v>101312.83</v>
      </c>
      <c r="M16" s="13">
        <f t="shared" si="16"/>
        <v>89631.88</v>
      </c>
      <c r="N16" s="13">
        <f>SUM(B16:M16)</f>
        <v>996014.11</v>
      </c>
    </row>
    <row r="17" spans="1:15" ht="24" customHeight="1" thickBot="1" x14ac:dyDescent="0.3">
      <c r="A17" s="4" t="s">
        <v>29</v>
      </c>
      <c r="B17" s="11">
        <f>78542.37+1361.67</f>
        <v>79904.039999999994</v>
      </c>
      <c r="C17" s="11">
        <f>73332.51+1356.05</f>
        <v>74688.56</v>
      </c>
      <c r="D17" s="11">
        <f>59808.19+1595.1</f>
        <v>61403.29</v>
      </c>
      <c r="E17" s="11">
        <f>54704.84+1355.54</f>
        <v>56060.38</v>
      </c>
      <c r="F17" s="11">
        <f>61749.89+1632.57</f>
        <v>63382.46</v>
      </c>
      <c r="G17" s="11">
        <f>57836.55+2288.92</f>
        <v>60125.47</v>
      </c>
      <c r="H17" s="11">
        <f>59078.39+1560.03</f>
        <v>60638.42</v>
      </c>
      <c r="I17" s="11">
        <f>61349.79+1838.38</f>
        <v>63188.17</v>
      </c>
      <c r="J17" s="11">
        <f>64946.65+1315.27</f>
        <v>66261.919999999998</v>
      </c>
      <c r="K17" s="11">
        <f>60142.69+1170.85</f>
        <v>61313.54</v>
      </c>
      <c r="L17" s="11">
        <f>82326.99+1885.6</f>
        <v>84212.590000000011</v>
      </c>
      <c r="M17" s="11">
        <f>67592.52+1539.46</f>
        <v>69131.98000000001</v>
      </c>
      <c r="N17" s="11">
        <f t="shared" ref="N17:N23" si="17">SUM(B17:M17)</f>
        <v>800310.82</v>
      </c>
    </row>
    <row r="18" spans="1:15" ht="26.25" customHeight="1" thickBot="1" x14ac:dyDescent="0.3">
      <c r="A18" s="4" t="s">
        <v>17</v>
      </c>
      <c r="B18" s="11">
        <f>1672.14+1672.14</f>
        <v>3344.28</v>
      </c>
      <c r="C18" s="11">
        <v>1672.14</v>
      </c>
      <c r="D18" s="11">
        <v>1672.14</v>
      </c>
      <c r="E18" s="11">
        <v>0</v>
      </c>
      <c r="F18" s="11">
        <f>5016.42</f>
        <v>5016.42</v>
      </c>
      <c r="G18" s="11">
        <v>0</v>
      </c>
      <c r="H18" s="11">
        <v>1672.14</v>
      </c>
      <c r="I18" s="11">
        <f>1672.14*2</f>
        <v>3344.28</v>
      </c>
      <c r="J18" s="11">
        <v>0</v>
      </c>
      <c r="K18" s="11">
        <v>0</v>
      </c>
      <c r="L18" s="11">
        <f>1672.14+1672.14</f>
        <v>3344.28</v>
      </c>
      <c r="M18" s="11">
        <f>1672.14+1672.14</f>
        <v>3344.28</v>
      </c>
      <c r="N18" s="11">
        <f t="shared" si="17"/>
        <v>23409.959999999995</v>
      </c>
    </row>
    <row r="19" spans="1:15" ht="26.25" customHeight="1" thickBot="1" x14ac:dyDescent="0.3">
      <c r="A19" s="4" t="s">
        <v>18</v>
      </c>
      <c r="B19" s="11">
        <v>312.82</v>
      </c>
      <c r="C19" s="11">
        <f>615.43+101.59</f>
        <v>717.02</v>
      </c>
      <c r="D19" s="11">
        <v>157.57</v>
      </c>
      <c r="E19" s="11">
        <v>71.62</v>
      </c>
      <c r="F19" s="11">
        <v>70.92</v>
      </c>
      <c r="G19" s="11">
        <v>1513.71</v>
      </c>
      <c r="H19" s="11">
        <f>5811.1+37.76</f>
        <v>5848.8600000000006</v>
      </c>
      <c r="I19" s="11">
        <f>406.1+186.09</f>
        <v>592.19000000000005</v>
      </c>
      <c r="J19" s="11">
        <v>232.98</v>
      </c>
      <c r="K19" s="11">
        <v>173.24</v>
      </c>
      <c r="L19" s="11">
        <v>389.55</v>
      </c>
      <c r="M19" s="11">
        <v>288.54000000000002</v>
      </c>
      <c r="N19" s="11">
        <f t="shared" si="17"/>
        <v>10369.02</v>
      </c>
    </row>
    <row r="20" spans="1:15" ht="26.25" customHeight="1" thickBot="1" x14ac:dyDescent="0.3">
      <c r="A20" s="4" t="s">
        <v>19</v>
      </c>
      <c r="B20" s="11">
        <f>3862.94+93.5+124.96</f>
        <v>4081.4</v>
      </c>
      <c r="C20" s="11">
        <f>1548.67+126.76</f>
        <v>1675.43</v>
      </c>
      <c r="D20" s="11">
        <f>3489.12+35.96</f>
        <v>3525.08</v>
      </c>
      <c r="E20" s="11">
        <v>3502.54</v>
      </c>
      <c r="F20" s="11">
        <f>3586.97+106.08+112.38+103.39</f>
        <v>3908.8199999999997</v>
      </c>
      <c r="G20" s="11">
        <v>3897.45</v>
      </c>
      <c r="H20" s="11">
        <f>5968.45+111.48</f>
        <v>6079.9299999999994</v>
      </c>
      <c r="I20" s="11">
        <f>1984.56+177.1+48.55</f>
        <v>2210.21</v>
      </c>
      <c r="J20" s="11">
        <v>4516.17</v>
      </c>
      <c r="K20" s="11">
        <v>2286.44</v>
      </c>
      <c r="L20" s="11">
        <f>3550.71+62.03+117.77</f>
        <v>3730.51</v>
      </c>
      <c r="M20" s="11">
        <f>4147.87+74.62+106.98</f>
        <v>4329.4699999999993</v>
      </c>
      <c r="N20" s="11">
        <f t="shared" si="17"/>
        <v>43743.450000000004</v>
      </c>
    </row>
    <row r="21" spans="1:15" ht="26.25" customHeight="1" thickBot="1" x14ac:dyDescent="0.3">
      <c r="A21" s="4" t="s">
        <v>20</v>
      </c>
      <c r="B21" s="11">
        <f>4642.78+33.26+1.49</f>
        <v>4677.53</v>
      </c>
      <c r="C21" s="11">
        <f>2340.85+41.35</f>
        <v>2382.1999999999998</v>
      </c>
      <c r="D21" s="11">
        <f>1755.72+41.35</f>
        <v>1797.07</v>
      </c>
      <c r="E21" s="11">
        <v>4505.28</v>
      </c>
      <c r="F21" s="11">
        <f>8094.02+42.25+146.54+250.82</f>
        <v>8533.630000000001</v>
      </c>
      <c r="G21" s="11">
        <v>1283.21</v>
      </c>
      <c r="H21" s="11">
        <v>336.35</v>
      </c>
      <c r="I21" s="11">
        <v>398</v>
      </c>
      <c r="J21" s="11">
        <v>536.85</v>
      </c>
      <c r="K21" s="11">
        <v>3313.41</v>
      </c>
      <c r="L21" s="11">
        <f>1098.89+97.09</f>
        <v>1195.98</v>
      </c>
      <c r="M21" s="11">
        <f>1937.79+87.2</f>
        <v>2024.99</v>
      </c>
      <c r="N21" s="11">
        <f t="shared" si="17"/>
        <v>30984.499999999996</v>
      </c>
    </row>
    <row r="22" spans="1:15" ht="26.25" customHeight="1" thickBot="1" x14ac:dyDescent="0.3">
      <c r="A22" s="4" t="s">
        <v>27</v>
      </c>
      <c r="B22" s="11">
        <f>311.16+8.09*2</f>
        <v>327.34000000000003</v>
      </c>
      <c r="C22" s="11">
        <f>382.94+8.09</f>
        <v>391.03</v>
      </c>
      <c r="D22" s="11">
        <f>304.7+8.09</f>
        <v>312.78999999999996</v>
      </c>
      <c r="E22" s="11">
        <v>279.3</v>
      </c>
      <c r="F22" s="11">
        <f>304.26+24.27</f>
        <v>328.53</v>
      </c>
      <c r="G22" s="11">
        <v>376.91</v>
      </c>
      <c r="H22" s="11">
        <f>300.71+8.09</f>
        <v>308.79999999999995</v>
      </c>
      <c r="I22" s="11">
        <f>314.08+8.09*2</f>
        <v>330.26</v>
      </c>
      <c r="J22" s="11">
        <v>70.42</v>
      </c>
      <c r="K22" s="11">
        <v>300.3</v>
      </c>
      <c r="L22" s="11">
        <v>619.25</v>
      </c>
      <c r="M22" s="11">
        <v>4031.62</v>
      </c>
      <c r="N22" s="11">
        <f t="shared" si="17"/>
        <v>7676.55</v>
      </c>
    </row>
    <row r="23" spans="1:15" ht="26.25" customHeight="1" thickBot="1" x14ac:dyDescent="0.3">
      <c r="A23" s="4" t="s">
        <v>44</v>
      </c>
      <c r="B23" s="11">
        <f>5296.51+70+70</f>
        <v>5436.51</v>
      </c>
      <c r="C23" s="11">
        <f>7372.01+70</f>
        <v>7442.01</v>
      </c>
      <c r="D23" s="11">
        <f>5348.58+70</f>
        <v>5418.58</v>
      </c>
      <c r="E23" s="11">
        <v>4556.8500000000004</v>
      </c>
      <c r="F23" s="11">
        <f>5486.96+210</f>
        <v>5696.96</v>
      </c>
      <c r="G23" s="11">
        <v>6610.42</v>
      </c>
      <c r="H23" s="11">
        <f>5350.8+70</f>
        <v>5420.8</v>
      </c>
      <c r="I23" s="11">
        <f>6163.5+70*2</f>
        <v>6303.5</v>
      </c>
      <c r="J23" s="11">
        <v>6078.79</v>
      </c>
      <c r="K23" s="11">
        <v>4833.72</v>
      </c>
      <c r="L23" s="11">
        <f>7080.67+70+70</f>
        <v>7220.67</v>
      </c>
      <c r="M23" s="11">
        <f>5741+70+70</f>
        <v>5881</v>
      </c>
      <c r="N23" s="11">
        <f t="shared" si="17"/>
        <v>70899.81</v>
      </c>
    </row>
    <row r="24" spans="1:15" ht="26.25" customHeight="1" thickBot="1" x14ac:dyDescent="0.3">
      <c r="A24" s="4" t="s">
        <v>15</v>
      </c>
      <c r="B24" s="14">
        <v>600</v>
      </c>
      <c r="C24" s="14">
        <v>600</v>
      </c>
      <c r="D24" s="14">
        <v>600</v>
      </c>
      <c r="E24" s="14">
        <v>600</v>
      </c>
      <c r="F24" s="14">
        <v>600</v>
      </c>
      <c r="G24" s="14">
        <v>600</v>
      </c>
      <c r="H24" s="14">
        <v>600</v>
      </c>
      <c r="I24" s="14">
        <v>1600</v>
      </c>
      <c r="J24" s="14">
        <v>1020</v>
      </c>
      <c r="K24" s="11">
        <v>600</v>
      </c>
      <c r="L24" s="11">
        <v>600</v>
      </c>
      <c r="M24" s="11">
        <v>600</v>
      </c>
      <c r="N24" s="11">
        <f>SUM(B24:M24)</f>
        <v>8620</v>
      </c>
      <c r="O24" s="3"/>
    </row>
    <row r="25" spans="1:15" ht="21.75" customHeight="1" thickBot="1" x14ac:dyDescent="0.3">
      <c r="A25" s="15" t="s">
        <v>25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7"/>
    </row>
    <row r="26" spans="1:15" ht="19.5" customHeight="1" thickBot="1" x14ac:dyDescent="0.3">
      <c r="A26" s="4" t="s">
        <v>1</v>
      </c>
      <c r="B26" s="11">
        <f>3615.9*0.55</f>
        <v>1988.7450000000001</v>
      </c>
      <c r="C26" s="11">
        <f t="shared" ref="C26:K26" si="18">3615.9*0.55</f>
        <v>1988.7450000000001</v>
      </c>
      <c r="D26" s="11">
        <f t="shared" si="18"/>
        <v>1988.7450000000001</v>
      </c>
      <c r="E26" s="11">
        <f t="shared" si="18"/>
        <v>1988.7450000000001</v>
      </c>
      <c r="F26" s="11">
        <f t="shared" si="18"/>
        <v>1988.7450000000001</v>
      </c>
      <c r="G26" s="11">
        <f t="shared" si="18"/>
        <v>1988.7450000000001</v>
      </c>
      <c r="H26" s="11">
        <f t="shared" si="18"/>
        <v>1988.7450000000001</v>
      </c>
      <c r="I26" s="11">
        <f t="shared" si="18"/>
        <v>1988.7450000000001</v>
      </c>
      <c r="J26" s="11">
        <f t="shared" si="18"/>
        <v>1988.7450000000001</v>
      </c>
      <c r="K26" s="11">
        <f t="shared" si="18"/>
        <v>1988.7450000000001</v>
      </c>
      <c r="L26" s="11">
        <f>3615.9*0.6</f>
        <v>2169.54</v>
      </c>
      <c r="M26" s="11">
        <f>3615.9*0.6</f>
        <v>2169.54</v>
      </c>
      <c r="N26" s="11">
        <f>SUM(B26:M26)</f>
        <v>24226.530000000002</v>
      </c>
    </row>
    <row r="27" spans="1:15" ht="22.5" customHeight="1" thickBot="1" x14ac:dyDescent="0.3">
      <c r="A27" s="4" t="s">
        <v>2</v>
      </c>
      <c r="B27" s="11">
        <f>3615.9*0.17</f>
        <v>614.70300000000009</v>
      </c>
      <c r="C27" s="11">
        <f t="shared" ref="C27:M27" si="19">3615.9*0.17</f>
        <v>614.70300000000009</v>
      </c>
      <c r="D27" s="11">
        <f t="shared" si="19"/>
        <v>614.70300000000009</v>
      </c>
      <c r="E27" s="11">
        <f t="shared" si="19"/>
        <v>614.70300000000009</v>
      </c>
      <c r="F27" s="11">
        <f t="shared" si="19"/>
        <v>614.70300000000009</v>
      </c>
      <c r="G27" s="11">
        <f t="shared" si="19"/>
        <v>614.70300000000009</v>
      </c>
      <c r="H27" s="11">
        <f t="shared" si="19"/>
        <v>614.70300000000009</v>
      </c>
      <c r="I27" s="11">
        <f t="shared" si="19"/>
        <v>614.70300000000009</v>
      </c>
      <c r="J27" s="11">
        <f t="shared" si="19"/>
        <v>614.70300000000009</v>
      </c>
      <c r="K27" s="11">
        <f t="shared" si="19"/>
        <v>614.70300000000009</v>
      </c>
      <c r="L27" s="11">
        <f t="shared" si="19"/>
        <v>614.70300000000009</v>
      </c>
      <c r="M27" s="11">
        <f t="shared" si="19"/>
        <v>614.70300000000009</v>
      </c>
      <c r="N27" s="11">
        <f>SUM(B27:M27)</f>
        <v>7376.4360000000024</v>
      </c>
    </row>
    <row r="28" spans="1:15" ht="21" customHeight="1" thickBot="1" x14ac:dyDescent="0.3">
      <c r="A28" s="4" t="s">
        <v>3</v>
      </c>
      <c r="B28" s="11">
        <f>73482.95*2.3%</f>
        <v>1690.1078499999999</v>
      </c>
      <c r="C28" s="11">
        <f>76405*2.3%</f>
        <v>1757.3150000000001</v>
      </c>
      <c r="D28" s="11">
        <f>80586.51*2.3%</f>
        <v>1853.4897299999998</v>
      </c>
      <c r="E28" s="11">
        <f>84209.46*2.3%</f>
        <v>1936.8175800000001</v>
      </c>
      <c r="F28" s="11">
        <f>76457.83*2.3%</f>
        <v>1758.53009</v>
      </c>
      <c r="G28" s="11">
        <f>84565.81*2.3%</f>
        <v>1945.0136299999999</v>
      </c>
      <c r="H28" s="11">
        <f>72638.62*2.3%</f>
        <v>1670.6882599999999</v>
      </c>
      <c r="I28" s="11">
        <f>74631.29*2.3%</f>
        <v>1716.5196699999999</v>
      </c>
      <c r="J28" s="11">
        <f>76535.07*2.3%</f>
        <v>1760.3066100000001</v>
      </c>
      <c r="K28" s="11">
        <f>73350.75*2.3%</f>
        <v>1687.0672500000001</v>
      </c>
      <c r="L28" s="11">
        <f>80583.87*2.3%</f>
        <v>1853.4290099999998</v>
      </c>
      <c r="M28" s="11">
        <f>76353.72*2.3%</f>
        <v>1756.1355599999999</v>
      </c>
      <c r="N28" s="11">
        <f t="shared" ref="N28:N40" si="20">SUM(B28:M28)</f>
        <v>21385.420239999996</v>
      </c>
    </row>
    <row r="29" spans="1:15" ht="23.25" customHeight="1" thickBot="1" x14ac:dyDescent="0.3">
      <c r="A29" s="4" t="s">
        <v>4</v>
      </c>
      <c r="B29" s="11">
        <f>94330.25*3%</f>
        <v>2829.9074999999998</v>
      </c>
      <c r="C29" s="11">
        <f>86948.46*3%</f>
        <v>2608.4538000000002</v>
      </c>
      <c r="D29" s="11">
        <f>72458.98*3%</f>
        <v>2173.7693999999997</v>
      </c>
      <c r="E29" s="11">
        <f>68975.97*3%</f>
        <v>2069.2790999999997</v>
      </c>
      <c r="F29" s="11">
        <f>80925.59*3%</f>
        <v>2427.7676999999999</v>
      </c>
      <c r="G29" s="11">
        <f>73807.17*3%</f>
        <v>2214.2150999999999</v>
      </c>
      <c r="H29" s="11">
        <f>78405.83*3%</f>
        <v>2352.1749</v>
      </c>
      <c r="I29" s="11">
        <f>72454.41*3%</f>
        <v>2173.6323000000002</v>
      </c>
      <c r="J29" s="11">
        <f>77697.13*3%</f>
        <v>2330.9139</v>
      </c>
      <c r="K29" s="11">
        <f>72220.65*3%</f>
        <v>2166.6194999999998</v>
      </c>
      <c r="L29" s="11">
        <f>96951.66*3%</f>
        <v>2908.5497999999998</v>
      </c>
      <c r="M29" s="11">
        <f>85278.8*3%</f>
        <v>2558.364</v>
      </c>
      <c r="N29" s="11">
        <f t="shared" si="20"/>
        <v>28813.647000000001</v>
      </c>
    </row>
    <row r="30" spans="1:15" ht="23.25" customHeight="1" thickBot="1" x14ac:dyDescent="0.3">
      <c r="A30" s="4" t="s">
        <v>9</v>
      </c>
      <c r="B30" s="21">
        <f>3615.9*8.5</f>
        <v>30735.15</v>
      </c>
      <c r="C30" s="21">
        <f t="shared" ref="C30:F30" si="21">3615.9*8.5</f>
        <v>30735.15</v>
      </c>
      <c r="D30" s="21">
        <f t="shared" si="21"/>
        <v>30735.15</v>
      </c>
      <c r="E30" s="21">
        <f t="shared" si="21"/>
        <v>30735.15</v>
      </c>
      <c r="F30" s="21">
        <f t="shared" si="21"/>
        <v>30735.15</v>
      </c>
      <c r="G30" s="21">
        <f>3615.9*8.5</f>
        <v>30735.15</v>
      </c>
      <c r="H30" s="21">
        <f>3615.9*9.7</f>
        <v>35074.229999999996</v>
      </c>
      <c r="I30" s="21">
        <f t="shared" ref="I30:M30" si="22">3615.9*9.7</f>
        <v>35074.229999999996</v>
      </c>
      <c r="J30" s="21">
        <f t="shared" si="22"/>
        <v>35074.229999999996</v>
      </c>
      <c r="K30" s="21">
        <f t="shared" si="22"/>
        <v>35074.229999999996</v>
      </c>
      <c r="L30" s="21">
        <f t="shared" si="22"/>
        <v>35074.229999999996</v>
      </c>
      <c r="M30" s="21">
        <f t="shared" si="22"/>
        <v>35074.229999999996</v>
      </c>
      <c r="N30" s="11">
        <f t="shared" si="20"/>
        <v>394856.27999999991</v>
      </c>
    </row>
    <row r="31" spans="1:15" ht="26.25" customHeight="1" thickBot="1" x14ac:dyDescent="0.3">
      <c r="A31" s="4" t="s">
        <v>21</v>
      </c>
      <c r="B31" s="11">
        <v>0</v>
      </c>
      <c r="C31" s="11">
        <v>0</v>
      </c>
      <c r="D31" s="11">
        <v>0</v>
      </c>
      <c r="E31" s="11">
        <v>1513</v>
      </c>
      <c r="F31" s="11">
        <f>7480.58+0</f>
        <v>7480.58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f t="shared" si="20"/>
        <v>8993.58</v>
      </c>
    </row>
    <row r="32" spans="1:15" ht="26.25" customHeight="1" thickBot="1" x14ac:dyDescent="0.3">
      <c r="A32" s="4" t="s">
        <v>22</v>
      </c>
      <c r="B32" s="11">
        <v>4269.9799999999996</v>
      </c>
      <c r="C32" s="11">
        <v>4513.38</v>
      </c>
      <c r="D32" s="11">
        <v>4153.6899999999996</v>
      </c>
      <c r="E32" s="11">
        <v>4500.6499999999996</v>
      </c>
      <c r="F32" s="11">
        <v>7155.17</v>
      </c>
      <c r="G32" s="11">
        <v>1951.98</v>
      </c>
      <c r="H32" s="11">
        <v>4721.5600000000004</v>
      </c>
      <c r="I32" s="11">
        <v>2500.67</v>
      </c>
      <c r="J32" s="11">
        <v>3017.76</v>
      </c>
      <c r="K32" s="11">
        <v>4303.49</v>
      </c>
      <c r="L32" s="11">
        <v>3291.61</v>
      </c>
      <c r="M32" s="11">
        <v>5146.33</v>
      </c>
      <c r="N32" s="11">
        <f t="shared" si="20"/>
        <v>49526.27</v>
      </c>
    </row>
    <row r="33" spans="1:14" ht="26.25" customHeight="1" thickBot="1" x14ac:dyDescent="0.3">
      <c r="A33" s="4" t="s">
        <v>23</v>
      </c>
      <c r="B33" s="11">
        <v>1687.5</v>
      </c>
      <c r="C33" s="11">
        <v>5890.5</v>
      </c>
      <c r="D33" s="11">
        <v>10102.5</v>
      </c>
      <c r="E33" s="11">
        <v>0</v>
      </c>
      <c r="F33" s="11">
        <v>0</v>
      </c>
      <c r="G33" s="11">
        <v>0</v>
      </c>
      <c r="H33" s="11">
        <v>0</v>
      </c>
      <c r="I33" s="11">
        <v>3903.12</v>
      </c>
      <c r="J33" s="11">
        <v>0</v>
      </c>
      <c r="K33" s="11">
        <v>3514.68</v>
      </c>
      <c r="L33" s="11">
        <v>0</v>
      </c>
      <c r="M33" s="11">
        <v>3243.6</v>
      </c>
      <c r="N33" s="11">
        <f t="shared" si="20"/>
        <v>28341.899999999998</v>
      </c>
    </row>
    <row r="34" spans="1:14" ht="26.25" customHeight="1" thickBot="1" x14ac:dyDescent="0.3">
      <c r="A34" s="4" t="s">
        <v>27</v>
      </c>
      <c r="B34" s="11">
        <v>342.16</v>
      </c>
      <c r="C34" s="11">
        <v>342.16</v>
      </c>
      <c r="D34" s="11">
        <v>342.16</v>
      </c>
      <c r="E34" s="11">
        <v>342.16</v>
      </c>
      <c r="F34" s="11">
        <v>342.16</v>
      </c>
      <c r="G34" s="11">
        <v>342.16</v>
      </c>
      <c r="H34" s="11">
        <v>342.16</v>
      </c>
      <c r="I34" s="11">
        <v>342.16</v>
      </c>
      <c r="J34" s="11">
        <v>342.16</v>
      </c>
      <c r="K34" s="11">
        <v>4363.4399999999996</v>
      </c>
      <c r="L34" s="11">
        <v>3260.99</v>
      </c>
      <c r="M34" s="11">
        <v>4965.1400000000003</v>
      </c>
      <c r="N34" s="11">
        <f t="shared" si="20"/>
        <v>15669.009999999998</v>
      </c>
    </row>
    <row r="35" spans="1:14" ht="22.5" customHeight="1" thickBot="1" x14ac:dyDescent="0.3">
      <c r="A35" s="4" t="s">
        <v>6</v>
      </c>
      <c r="B35" s="21">
        <f>3615.9*2.79</f>
        <v>10088.361000000001</v>
      </c>
      <c r="C35" s="21">
        <f t="shared" ref="C35:M35" si="23">3615.9*2.79</f>
        <v>10088.361000000001</v>
      </c>
      <c r="D35" s="21">
        <f t="shared" si="23"/>
        <v>10088.361000000001</v>
      </c>
      <c r="E35" s="21">
        <f t="shared" si="23"/>
        <v>10088.361000000001</v>
      </c>
      <c r="F35" s="21">
        <f t="shared" si="23"/>
        <v>10088.361000000001</v>
      </c>
      <c r="G35" s="21">
        <f t="shared" si="23"/>
        <v>10088.361000000001</v>
      </c>
      <c r="H35" s="21">
        <f t="shared" si="23"/>
        <v>10088.361000000001</v>
      </c>
      <c r="I35" s="21">
        <f t="shared" si="23"/>
        <v>10088.361000000001</v>
      </c>
      <c r="J35" s="21">
        <f t="shared" si="23"/>
        <v>10088.361000000001</v>
      </c>
      <c r="K35" s="21">
        <f t="shared" si="23"/>
        <v>10088.361000000001</v>
      </c>
      <c r="L35" s="21">
        <f t="shared" si="23"/>
        <v>10088.361000000001</v>
      </c>
      <c r="M35" s="21">
        <f t="shared" si="23"/>
        <v>10088.361000000001</v>
      </c>
      <c r="N35" s="11">
        <f t="shared" si="20"/>
        <v>121060.33200000004</v>
      </c>
    </row>
    <row r="36" spans="1:14" ht="21.75" customHeight="1" thickBot="1" x14ac:dyDescent="0.3">
      <c r="A36" s="4" t="s">
        <v>44</v>
      </c>
      <c r="B36" s="11">
        <v>5015</v>
      </c>
      <c r="C36" s="11">
        <v>5820</v>
      </c>
      <c r="D36" s="11">
        <v>6370</v>
      </c>
      <c r="E36" s="11">
        <v>4315</v>
      </c>
      <c r="F36" s="11">
        <v>4950</v>
      </c>
      <c r="G36" s="11">
        <v>6555</v>
      </c>
      <c r="H36" s="11">
        <v>5182</v>
      </c>
      <c r="I36" s="11">
        <v>5770</v>
      </c>
      <c r="J36" s="11">
        <v>4475</v>
      </c>
      <c r="K36" s="11">
        <v>6170</v>
      </c>
      <c r="L36" s="11">
        <v>5380</v>
      </c>
      <c r="M36" s="11">
        <v>6630</v>
      </c>
      <c r="N36" s="11">
        <f t="shared" si="20"/>
        <v>66632</v>
      </c>
    </row>
    <row r="37" spans="1:14" ht="22.8" customHeight="1" thickBot="1" x14ac:dyDescent="0.3">
      <c r="A37" s="4" t="s">
        <v>28</v>
      </c>
      <c r="B37" s="11">
        <v>494.05</v>
      </c>
      <c r="C37" s="11">
        <v>495.67</v>
      </c>
      <c r="D37" s="11">
        <v>495.67</v>
      </c>
      <c r="E37" s="11">
        <v>495.67</v>
      </c>
      <c r="F37" s="11">
        <v>495.67</v>
      </c>
      <c r="G37" s="11">
        <v>495.67</v>
      </c>
      <c r="H37" s="11">
        <v>495.67</v>
      </c>
      <c r="I37" s="11">
        <v>495.67</v>
      </c>
      <c r="J37" s="11">
        <v>495.67</v>
      </c>
      <c r="K37" s="11">
        <v>495.67</v>
      </c>
      <c r="L37" s="11">
        <v>495.67</v>
      </c>
      <c r="M37" s="11">
        <v>495.67</v>
      </c>
      <c r="N37" s="11">
        <f t="shared" si="20"/>
        <v>5946.42</v>
      </c>
    </row>
    <row r="38" spans="1:14" ht="24.75" customHeight="1" thickBot="1" x14ac:dyDescent="0.3">
      <c r="A38" s="4" t="s">
        <v>26</v>
      </c>
      <c r="B38" s="11">
        <f>1140+420</f>
        <v>1560</v>
      </c>
      <c r="C38" s="11">
        <f>1140+420</f>
        <v>1560</v>
      </c>
      <c r="D38" s="11">
        <f>1140+420</f>
        <v>1560</v>
      </c>
      <c r="E38" s="11">
        <f>1140+420</f>
        <v>1560</v>
      </c>
      <c r="F38" s="11">
        <f>1140+420</f>
        <v>1560</v>
      </c>
      <c r="G38" s="11">
        <f>900+500</f>
        <v>1400</v>
      </c>
      <c r="H38" s="11">
        <f>500+900</f>
        <v>1400</v>
      </c>
      <c r="I38" s="11">
        <f>500+900</f>
        <v>1400</v>
      </c>
      <c r="J38" s="11">
        <v>900</v>
      </c>
      <c r="K38" s="11">
        <f>900</f>
        <v>900</v>
      </c>
      <c r="L38" s="11">
        <f>900</f>
        <v>900</v>
      </c>
      <c r="M38" s="11">
        <f>900</f>
        <v>900</v>
      </c>
      <c r="N38" s="11">
        <f t="shared" si="20"/>
        <v>15600</v>
      </c>
    </row>
    <row r="39" spans="1:14" ht="24.75" customHeight="1" thickBot="1" x14ac:dyDescent="0.3">
      <c r="A39" s="4" t="s">
        <v>14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13570.42</v>
      </c>
      <c r="J39" s="11">
        <v>0</v>
      </c>
      <c r="K39" s="11">
        <v>0</v>
      </c>
      <c r="L39" s="11">
        <v>0</v>
      </c>
      <c r="M39" s="11">
        <v>0</v>
      </c>
      <c r="N39" s="11">
        <f t="shared" si="20"/>
        <v>13570.42</v>
      </c>
    </row>
    <row r="40" spans="1:14" ht="24" customHeight="1" thickBot="1" x14ac:dyDescent="0.3">
      <c r="A40" s="4" t="s">
        <v>10</v>
      </c>
      <c r="B40" s="11">
        <v>0</v>
      </c>
      <c r="C40" s="11">
        <f>15066.9+15066.9+15066.9</f>
        <v>45200.7</v>
      </c>
      <c r="D40" s="11">
        <v>0</v>
      </c>
      <c r="E40" s="11">
        <f>2269.3+2269.3+2602.1+1765.9+8710.1+628.9</f>
        <v>18245.600000000002</v>
      </c>
      <c r="F40" s="11">
        <f>888.2+260+1244.3+550.6</f>
        <v>2943.1</v>
      </c>
      <c r="G40" s="11">
        <f>285.3+70976.21</f>
        <v>71261.510000000009</v>
      </c>
      <c r="H40" s="11">
        <f>6200</f>
        <v>6200</v>
      </c>
      <c r="I40" s="11">
        <f>538.6+2263.6</f>
        <v>2802.2</v>
      </c>
      <c r="J40" s="11">
        <f>1888.6+1255.2+8927.8+8326.1+28500</f>
        <v>48897.7</v>
      </c>
      <c r="K40" s="11">
        <f>627.6+896.9+5763.6+3980.8+784.4</f>
        <v>12053.300000000001</v>
      </c>
      <c r="L40" s="11">
        <v>0</v>
      </c>
      <c r="M40" s="11">
        <v>0</v>
      </c>
      <c r="N40" s="11">
        <f t="shared" si="20"/>
        <v>207604.11000000004</v>
      </c>
    </row>
    <row r="41" spans="1:14" ht="22.5" customHeight="1" thickBot="1" x14ac:dyDescent="0.3">
      <c r="A41" s="9" t="s">
        <v>24</v>
      </c>
      <c r="B41" s="10">
        <f t="shared" ref="B41:M41" si="24">SUM(B26:B40)</f>
        <v>61315.664350000006</v>
      </c>
      <c r="C41" s="10">
        <f t="shared" si="24"/>
        <v>111615.1378</v>
      </c>
      <c r="D41" s="10">
        <f t="shared" si="24"/>
        <v>70478.238130000012</v>
      </c>
      <c r="E41" s="10">
        <f t="shared" si="24"/>
        <v>78405.135680000007</v>
      </c>
      <c r="F41" s="10">
        <f t="shared" si="24"/>
        <v>72539.936790000007</v>
      </c>
      <c r="G41" s="10">
        <f t="shared" si="24"/>
        <v>129592.50773000001</v>
      </c>
      <c r="H41" s="10">
        <f t="shared" si="24"/>
        <v>70130.292159999997</v>
      </c>
      <c r="I41" s="10">
        <f t="shared" si="24"/>
        <v>82440.430970000001</v>
      </c>
      <c r="J41" s="10">
        <f t="shared" si="24"/>
        <v>109985.54951</v>
      </c>
      <c r="K41" s="10">
        <f t="shared" si="24"/>
        <v>83420.30575</v>
      </c>
      <c r="L41" s="10">
        <f t="shared" si="24"/>
        <v>66037.082809999993</v>
      </c>
      <c r="M41" s="10">
        <f t="shared" si="24"/>
        <v>73642.07355999999</v>
      </c>
      <c r="N41" s="10">
        <f>SUM(B41:M41)</f>
        <v>1009602.3552399999</v>
      </c>
    </row>
    <row r="42" spans="1:14" ht="23.25" customHeight="1" thickBot="1" x14ac:dyDescent="0.3">
      <c r="A42" s="4" t="s">
        <v>5</v>
      </c>
      <c r="B42" s="18">
        <f t="shared" ref="B42:N42" si="25">B16-B41</f>
        <v>37368.255649999977</v>
      </c>
      <c r="C42" s="18">
        <f t="shared" si="25"/>
        <v>-22046.747800000012</v>
      </c>
      <c r="D42" s="18">
        <f t="shared" si="25"/>
        <v>4408.2818699999916</v>
      </c>
      <c r="E42" s="18">
        <f t="shared" si="25"/>
        <v>-8829.1656800000055</v>
      </c>
      <c r="F42" s="18">
        <f t="shared" si="25"/>
        <v>14997.803209999998</v>
      </c>
      <c r="G42" s="18">
        <f t="shared" si="25"/>
        <v>-55185.337729999999</v>
      </c>
      <c r="H42" s="18">
        <f t="shared" si="25"/>
        <v>10775.007840000006</v>
      </c>
      <c r="I42" s="18">
        <f t="shared" si="25"/>
        <v>-4473.8209700000007</v>
      </c>
      <c r="J42" s="18">
        <f t="shared" si="25"/>
        <v>-31268.419510000007</v>
      </c>
      <c r="K42" s="18">
        <f t="shared" si="25"/>
        <v>-10599.655749999991</v>
      </c>
      <c r="L42" s="18">
        <f t="shared" si="25"/>
        <v>35275.747190000009</v>
      </c>
      <c r="M42" s="18">
        <f t="shared" si="25"/>
        <v>15989.806440000015</v>
      </c>
      <c r="N42" s="11">
        <f t="shared" si="25"/>
        <v>-13588.24523999996</v>
      </c>
    </row>
    <row r="43" spans="1:14" ht="23.25" customHeight="1" thickBot="1" x14ac:dyDescent="0.3">
      <c r="A43" s="4" t="s">
        <v>7</v>
      </c>
      <c r="B43" s="14">
        <f>B5+B42</f>
        <v>-196560.52435000002</v>
      </c>
      <c r="C43" s="19">
        <f>B43+C42</f>
        <v>-218607.27215000003</v>
      </c>
      <c r="D43" s="19">
        <f>C43+D42</f>
        <v>-214198.99028000003</v>
      </c>
      <c r="E43" s="14">
        <f>D43+E42</f>
        <v>-223028.15596000003</v>
      </c>
      <c r="F43" s="19">
        <f>E43+F42</f>
        <v>-208030.35275000002</v>
      </c>
      <c r="G43" s="19">
        <f t="shared" ref="G43:N43" si="26">G5+G42</f>
        <v>-263215.69047999999</v>
      </c>
      <c r="H43" s="19">
        <f t="shared" si="26"/>
        <v>-252440.68263999998</v>
      </c>
      <c r="I43" s="19">
        <f t="shared" si="26"/>
        <v>-256914.50360999999</v>
      </c>
      <c r="J43" s="19">
        <f t="shared" si="26"/>
        <v>-288182.92311999999</v>
      </c>
      <c r="K43" s="19">
        <f t="shared" si="26"/>
        <v>-298782.57886999997</v>
      </c>
      <c r="L43" s="19">
        <f t="shared" si="26"/>
        <v>-263506.83167999994</v>
      </c>
      <c r="M43" s="19">
        <f t="shared" si="26"/>
        <v>-247517.02523999993</v>
      </c>
      <c r="N43" s="18">
        <f t="shared" si="26"/>
        <v>-247517.02523999996</v>
      </c>
    </row>
    <row r="44" spans="1:14" ht="27" customHeight="1" thickBot="1" x14ac:dyDescent="0.3">
      <c r="A44" s="15" t="s">
        <v>11</v>
      </c>
      <c r="B44" s="20">
        <f t="shared" ref="B44:N44" si="27">B6+B16-B7</f>
        <v>-309849.65000000002</v>
      </c>
      <c r="C44" s="20">
        <f t="shared" si="27"/>
        <v>-301789.12000000005</v>
      </c>
      <c r="D44" s="20">
        <f t="shared" si="27"/>
        <v>-312702.56000000006</v>
      </c>
      <c r="E44" s="20">
        <f t="shared" si="27"/>
        <v>-332644.79000000004</v>
      </c>
      <c r="F44" s="20">
        <f t="shared" si="27"/>
        <v>-326668.65000000002</v>
      </c>
      <c r="G44" s="20">
        <f t="shared" si="27"/>
        <v>-342145.01</v>
      </c>
      <c r="H44" s="20">
        <f t="shared" si="27"/>
        <v>-338881.41000000003</v>
      </c>
      <c r="I44" s="20">
        <f t="shared" si="27"/>
        <v>-341610.30000000005</v>
      </c>
      <c r="J44" s="20">
        <f t="shared" si="27"/>
        <v>-344533.80000000005</v>
      </c>
      <c r="K44" s="20">
        <f t="shared" si="27"/>
        <v>-350084.96</v>
      </c>
      <c r="L44" s="20">
        <f t="shared" si="27"/>
        <v>-334496.62</v>
      </c>
      <c r="M44" s="20">
        <f t="shared" si="27"/>
        <v>-326246.70999999996</v>
      </c>
      <c r="N44" s="17">
        <f t="shared" si="27"/>
        <v>-326246.7100000002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5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2023-03-02T08:40:27Z</cp:lastPrinted>
  <dcterms:created xsi:type="dcterms:W3CDTF">2011-06-06T03:25:48Z</dcterms:created>
  <dcterms:modified xsi:type="dcterms:W3CDTF">2023-03-20T09:41:59Z</dcterms:modified>
</cp:coreProperties>
</file>