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68" windowWidth="17496" windowHeight="10920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N23" i="1" l="1"/>
  <c r="N24" i="1"/>
  <c r="M37" i="1" l="1"/>
  <c r="L37" i="1" l="1"/>
  <c r="K37" i="1" l="1"/>
  <c r="L39" i="1" l="1"/>
  <c r="M29" i="1" l="1"/>
  <c r="M17" i="1"/>
  <c r="M28" i="1"/>
  <c r="M8" i="1"/>
  <c r="K39" i="1" l="1"/>
  <c r="L29" i="1" l="1"/>
  <c r="L17" i="1"/>
  <c r="L28" i="1"/>
  <c r="L8" i="1"/>
  <c r="J39" i="1" l="1"/>
  <c r="K29" i="1" l="1"/>
  <c r="K17" i="1"/>
  <c r="K28" i="1"/>
  <c r="K8" i="1"/>
  <c r="L35" i="1" l="1"/>
  <c r="M35" i="1"/>
  <c r="K35" i="1"/>
  <c r="K30" i="1"/>
  <c r="L30" i="1"/>
  <c r="M30" i="1"/>
  <c r="K27" i="1"/>
  <c r="L27" i="1"/>
  <c r="M27" i="1"/>
  <c r="M26" i="1"/>
  <c r="L26" i="1"/>
  <c r="K26" i="1"/>
  <c r="J31" i="1" l="1"/>
  <c r="I31" i="1"/>
  <c r="I39" i="1" l="1"/>
  <c r="I30" i="1" l="1"/>
  <c r="J30" i="1"/>
  <c r="H30" i="1"/>
  <c r="H35" i="1" l="1"/>
  <c r="I35" i="1"/>
  <c r="J35" i="1"/>
  <c r="J29" i="1"/>
  <c r="J17" i="1"/>
  <c r="H27" i="1"/>
  <c r="I27" i="1"/>
  <c r="J27" i="1"/>
  <c r="H26" i="1"/>
  <c r="I26" i="1"/>
  <c r="J26" i="1"/>
  <c r="J28" i="1"/>
  <c r="J8" i="1"/>
  <c r="I29" i="1" l="1"/>
  <c r="I17" i="1"/>
  <c r="I28" i="1"/>
  <c r="I8" i="1"/>
  <c r="H29" i="1" l="1"/>
  <c r="H17" i="1"/>
  <c r="H28" i="1"/>
  <c r="H8" i="1"/>
  <c r="G39" i="1" l="1"/>
  <c r="F37" i="1" l="1"/>
  <c r="E37" i="1" l="1"/>
  <c r="G29" i="1" l="1"/>
  <c r="G17" i="1"/>
  <c r="G28" i="1"/>
  <c r="G8" i="1"/>
  <c r="F39" i="1" l="1"/>
  <c r="F29" i="1" l="1"/>
  <c r="F17" i="1"/>
  <c r="F28" i="1"/>
  <c r="F8" i="1"/>
  <c r="E39" i="1" l="1"/>
  <c r="E29" i="1" l="1"/>
  <c r="E17" i="1"/>
  <c r="E28" i="1"/>
  <c r="E8" i="1"/>
  <c r="E35" i="1" l="1"/>
  <c r="F35" i="1"/>
  <c r="G35" i="1"/>
  <c r="E30" i="1"/>
  <c r="F30" i="1"/>
  <c r="G30" i="1"/>
  <c r="E27" i="1"/>
  <c r="F27" i="1"/>
  <c r="G27" i="1"/>
  <c r="E26" i="1"/>
  <c r="F26" i="1"/>
  <c r="G26" i="1"/>
  <c r="D37" i="1" l="1"/>
  <c r="C37" i="1" l="1"/>
  <c r="B37" i="1" l="1"/>
  <c r="D29" i="1" l="1"/>
  <c r="D17" i="1"/>
  <c r="D28" i="1"/>
  <c r="D8" i="1"/>
  <c r="B39" i="1" l="1"/>
  <c r="C29" i="1" l="1"/>
  <c r="C17" i="1"/>
  <c r="C28" i="1"/>
  <c r="C8" i="1"/>
  <c r="B29" i="1" l="1"/>
  <c r="B17" i="1"/>
  <c r="B28" i="1"/>
  <c r="B8" i="1"/>
  <c r="C35" i="1" l="1"/>
  <c r="D35" i="1"/>
  <c r="C30" i="1"/>
  <c r="D30" i="1"/>
  <c r="C27" i="1"/>
  <c r="D27" i="1"/>
  <c r="C26" i="1"/>
  <c r="D26" i="1"/>
  <c r="B35" i="1"/>
  <c r="B30" i="1"/>
  <c r="B27" i="1"/>
  <c r="B26" i="1"/>
  <c r="N21" i="1" l="1"/>
  <c r="N20" i="1"/>
  <c r="N19" i="1"/>
  <c r="N27" i="1"/>
  <c r="N28" i="1"/>
  <c r="N29" i="1"/>
  <c r="N30" i="1"/>
  <c r="N31" i="1"/>
  <c r="N32" i="1"/>
  <c r="N33" i="1"/>
  <c r="N34" i="1"/>
  <c r="N35" i="1"/>
  <c r="N36" i="1"/>
  <c r="N37" i="1"/>
  <c r="N38" i="1"/>
  <c r="N26" i="1"/>
  <c r="G16" i="1" l="1"/>
  <c r="G40" i="1" s="1"/>
  <c r="N15" i="1" l="1"/>
  <c r="G7" i="1" l="1"/>
  <c r="F16" i="1"/>
  <c r="F40" i="1" s="1"/>
  <c r="F41" i="1" s="1"/>
  <c r="F7" i="1"/>
  <c r="E16" i="1"/>
  <c r="E7" i="1"/>
  <c r="N18" i="1"/>
  <c r="E40" i="1" l="1"/>
  <c r="E41" i="1" s="1"/>
  <c r="D16" i="1"/>
  <c r="D7" i="1"/>
  <c r="C16" i="1"/>
  <c r="C7" i="1"/>
  <c r="C40" i="1" l="1"/>
  <c r="C41" i="1" s="1"/>
  <c r="D40" i="1"/>
  <c r="D41" i="1" s="1"/>
  <c r="B16" i="1"/>
  <c r="N17" i="1"/>
  <c r="N6" i="1"/>
  <c r="N5" i="1"/>
  <c r="N12" i="1"/>
  <c r="N22" i="1"/>
  <c r="B40" i="1" l="1"/>
  <c r="B41" i="1" s="1"/>
  <c r="B42" i="1" s="1"/>
  <c r="N14" i="1"/>
  <c r="K16" i="1"/>
  <c r="L16" i="1"/>
  <c r="M16" i="1"/>
  <c r="N9" i="1"/>
  <c r="N10" i="1"/>
  <c r="N11" i="1"/>
  <c r="N13" i="1"/>
  <c r="K7" i="1"/>
  <c r="L7" i="1"/>
  <c r="M7" i="1"/>
  <c r="M40" i="1" l="1"/>
  <c r="M41" i="1" s="1"/>
  <c r="L40" i="1"/>
  <c r="L41" i="1" s="1"/>
  <c r="K40" i="1" l="1"/>
  <c r="J7" i="1"/>
  <c r="I16" i="1"/>
  <c r="J16" i="1"/>
  <c r="H7" i="1"/>
  <c r="I7" i="1"/>
  <c r="K41" i="1" l="1"/>
  <c r="I40" i="1"/>
  <c r="H16" i="1"/>
  <c r="N16" i="1" l="1"/>
  <c r="I41" i="1"/>
  <c r="J40" i="1"/>
  <c r="J41" i="1" s="1"/>
  <c r="H40" i="1" l="1"/>
  <c r="H41" i="1" l="1"/>
  <c r="N8" i="1"/>
  <c r="B7" i="1"/>
  <c r="B43" i="1" l="1"/>
  <c r="C6" i="1" s="1"/>
  <c r="C43" i="1" s="1"/>
  <c r="D6" i="1" s="1"/>
  <c r="N7" i="1"/>
  <c r="N43" i="1" s="1"/>
  <c r="G41" i="1" l="1"/>
  <c r="N39" i="1"/>
  <c r="C5" i="1"/>
  <c r="C42" i="1" s="1"/>
  <c r="D5" i="1" s="1"/>
  <c r="D43" i="1" l="1"/>
  <c r="D42" i="1"/>
  <c r="E5" i="1" s="1"/>
  <c r="N40" i="1"/>
  <c r="E6" i="1" l="1"/>
  <c r="E43" i="1" s="1"/>
  <c r="F6" i="1" s="1"/>
  <c r="N41" i="1"/>
  <c r="N42" i="1" s="1"/>
  <c r="E42" i="1"/>
  <c r="F43" i="1" l="1"/>
  <c r="G6" i="1" s="1"/>
  <c r="F5" i="1"/>
  <c r="F42" i="1" s="1"/>
  <c r="G5" i="1" s="1"/>
  <c r="G43" i="1" l="1"/>
  <c r="H6" i="1" s="1"/>
  <c r="G42" i="1"/>
  <c r="H5" i="1" s="1"/>
  <c r="H42" i="1" s="1"/>
  <c r="H43" i="1" l="1"/>
  <c r="I6" i="1" s="1"/>
  <c r="I43" i="1" s="1"/>
  <c r="J6" i="1" s="1"/>
  <c r="J43" i="1" s="1"/>
  <c r="K6" i="1" s="1"/>
  <c r="K43" i="1" s="1"/>
  <c r="I5" i="1"/>
  <c r="I42" i="1" s="1"/>
  <c r="L6" i="1" l="1"/>
  <c r="L43" i="1" s="1"/>
  <c r="J5" i="1"/>
  <c r="J42" i="1" s="1"/>
  <c r="M6" i="1" l="1"/>
  <c r="M43" i="1" s="1"/>
  <c r="K5" i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<sst xmlns="http://schemas.openxmlformats.org/spreadsheetml/2006/main" count="54" uniqueCount="45">
  <si>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</si>
  <si>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</si>
  <si>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</si>
  <si>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</si>
  <si>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</si>
  <si>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</si>
  <si>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</si>
  <si>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</si>
  <si>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</si>
  <si>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</si>
  <si>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</si>
  <si>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</si>
  <si>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</si>
  <si>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</si>
  <si>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</si>
  <si>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</si>
  <si>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</si>
  <si>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</si>
  <si>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</si>
  <si>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</si>
  <si>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</si>
  <si>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</si>
  <si>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</si>
  <si>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</si>
  <si>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</si>
  <si>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Тех.обслуживание ОПУ </t>
  </si>
  <si>
    <t>Отведение сточных вод на ОИ</t>
  </si>
  <si>
    <t>Установка пластиковых окон</t>
  </si>
  <si>
    <t>Содержание жилья и текущий ремонт,  ОПУ</t>
  </si>
  <si>
    <t xml:space="preserve">Содержание жилья и текущий ремонт,  ОПУ 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</si>
  <si>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</si>
  <si>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</si>
  <si>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</si>
  <si>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</si>
  <si>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</si>
  <si>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</si>
  <si>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</si>
  <si>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</si>
  <si>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</si>
  <si>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</si>
  <si>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</si>
  <si>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</si>
  <si>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</t>
  </si>
  <si>
    <t xml:space="preserve">    ОТЧЕТ по дому Васильева, 53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</si>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</sst>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6" fillId="5" borderId="4" xfId="0" applyNumberFormat="1" applyFont="1" applyFill="1" applyBorder="1" applyAlignment="1">
      <alignment horizontal="left" vertical="top" wrapText="1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25" zoomScale="75" workbookViewId="0">
      <selection activeCell="A33" sqref="A33"/>
    </sheetView>
  </sheetViews>
  <sheetFormatPr defaultRowHeight="13.2" x14ac:dyDescent="0.25"/>
  <cols>
    <col min="1" max="1" width="58.6640625" customWidth="1"/>
    <col min="2" max="2" width="14" customWidth="1"/>
    <col min="3" max="3" width="14.109375" customWidth="1"/>
    <col min="4" max="14" width="14.33203125" customWidth="1"/>
    <col min="16" max="16" width="13.6640625" bestFit="1" customWidth="1"/>
  </cols>
  <sheetData>
    <row r="1" spans="1:18" ht="20.25" customHeight="1" x14ac:dyDescent="0.4">
      <c r="A1" s="22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-423798.26</v>
      </c>
      <c r="C5" s="8">
        <f t="shared" ref="C5:C6" si="0">B42</f>
        <v>-345130.28720000002</v>
      </c>
      <c r="D5" s="8">
        <f t="shared" ref="D5:D6" si="1">C42</f>
        <v>-344830.37515000004</v>
      </c>
      <c r="E5" s="8">
        <f t="shared" ref="E5:E6" si="2">D42</f>
        <v>-314837.54701000004</v>
      </c>
      <c r="F5" s="8">
        <f t="shared" ref="F5:F6" si="3">E42</f>
        <v>-310616.52168000001</v>
      </c>
      <c r="G5" s="8">
        <f t="shared" ref="G5:G6" si="4">F42</f>
        <v>-303145.99898000003</v>
      </c>
      <c r="H5" s="8">
        <f t="shared" ref="H5:H6" si="5">G42</f>
        <v>-290478.48239000002</v>
      </c>
      <c r="I5" s="8">
        <f t="shared" ref="I5:I6" si="6">H42</f>
        <v>-280882.94543000002</v>
      </c>
      <c r="J5" s="8">
        <f t="shared" ref="J5:J6" si="7">I42</f>
        <v>-294139.38355999999</v>
      </c>
      <c r="K5" s="8">
        <f t="shared" ref="K5:K6" si="8">J42</f>
        <v>-322500.57834999997</v>
      </c>
      <c r="L5" s="8">
        <f t="shared" ref="L5:L6" si="9">K42</f>
        <v>-356313.55439999996</v>
      </c>
      <c r="M5" s="8">
        <f t="shared" ref="M5:M6" si="10">L42</f>
        <v>-435391.95361999993</v>
      </c>
      <c r="N5" s="8">
        <f>B5</f>
        <v>-423798.26</v>
      </c>
    </row>
    <row r="6" spans="1:18" ht="21" customHeight="1" thickBot="1" x14ac:dyDescent="0.3">
      <c r="A6" s="7" t="s">
        <v>13</v>
      </c>
      <c r="B6" s="8">
        <v>-280612.61</v>
      </c>
      <c r="C6" s="8">
        <f t="shared" si="0"/>
        <v>-211194.12999999998</v>
      </c>
      <c r="D6" s="8">
        <f t="shared" si="1"/>
        <v>-225688.62</v>
      </c>
      <c r="E6" s="8">
        <f t="shared" si="2"/>
        <v>-213759.62</v>
      </c>
      <c r="F6" s="8">
        <f t="shared" si="3"/>
        <v>-218579.03999999998</v>
      </c>
      <c r="G6" s="8">
        <f t="shared" si="4"/>
        <v>-225689.88999999998</v>
      </c>
      <c r="H6" s="8">
        <f t="shared" si="5"/>
        <v>-230180.14999999997</v>
      </c>
      <c r="I6" s="8">
        <f t="shared" si="6"/>
        <v>-237449.94</v>
      </c>
      <c r="J6" s="8">
        <f t="shared" si="7"/>
        <v>-246691.59999999998</v>
      </c>
      <c r="K6" s="8">
        <f t="shared" si="8"/>
        <v>-256061.14</v>
      </c>
      <c r="L6" s="8">
        <f t="shared" si="9"/>
        <v>-278927.15000000002</v>
      </c>
      <c r="M6" s="8">
        <f t="shared" si="10"/>
        <v>-287990.32</v>
      </c>
      <c r="N6" s="8">
        <f>B6</f>
        <v>-280612.61</v>
      </c>
    </row>
    <row r="7" spans="1:18" ht="20.25" customHeight="1" thickBot="1" x14ac:dyDescent="0.3">
      <c r="A7" s="9" t="s">
        <v>12</v>
      </c>
      <c r="B7" s="10">
        <f>SUM(B8:B15)</f>
        <v>64837.600000000006</v>
      </c>
      <c r="C7" s="10">
        <f t="shared" ref="C7:G7" si="11">SUM(C8:C15)</f>
        <v>69540.05</v>
      </c>
      <c r="D7" s="10">
        <f t="shared" si="11"/>
        <v>72793.62</v>
      </c>
      <c r="E7" s="10">
        <f t="shared" si="11"/>
        <v>71812.59</v>
      </c>
      <c r="F7" s="10">
        <f t="shared" si="11"/>
        <v>64837.600000000006</v>
      </c>
      <c r="G7" s="10">
        <f t="shared" si="11"/>
        <v>67087.569999999992</v>
      </c>
      <c r="H7" s="10">
        <f t="shared" ref="H7:M7" si="12">SUM(H8:H15)</f>
        <v>67942.58</v>
      </c>
      <c r="I7" s="10">
        <f t="shared" si="12"/>
        <v>64855.81</v>
      </c>
      <c r="J7" s="10">
        <f t="shared" si="12"/>
        <v>64749.83</v>
      </c>
      <c r="K7" s="10">
        <f t="shared" si="12"/>
        <v>78584.949999999983</v>
      </c>
      <c r="L7" s="10">
        <f t="shared" si="12"/>
        <v>76549.439999999988</v>
      </c>
      <c r="M7" s="10">
        <f t="shared" si="12"/>
        <v>82684.399999999994</v>
      </c>
      <c r="N7" s="10">
        <f>SUM(B7:M7)</f>
        <v>846276.0399999998</v>
      </c>
    </row>
    <row r="8" spans="1:18" ht="24.75" customHeight="1" thickBot="1" x14ac:dyDescent="0.3">
      <c r="A8" s="4" t="s">
        <v>28</v>
      </c>
      <c r="B8" s="11">
        <f t="shared" ref="B8:G8" si="13">61919.72+423.62+1200.28</f>
        <v>63543.62</v>
      </c>
      <c r="C8" s="11">
        <f t="shared" si="13"/>
        <v>63543.62</v>
      </c>
      <c r="D8" s="11">
        <f t="shared" si="13"/>
        <v>63543.62</v>
      </c>
      <c r="E8" s="11">
        <f t="shared" si="13"/>
        <v>63543.62</v>
      </c>
      <c r="F8" s="11">
        <f t="shared" si="13"/>
        <v>63543.62</v>
      </c>
      <c r="G8" s="11">
        <f t="shared" si="13"/>
        <v>63543.62</v>
      </c>
      <c r="H8" s="11">
        <f>61919.72+423.62+1200.28</f>
        <v>63543.62</v>
      </c>
      <c r="I8" s="11">
        <f>61919.72-1874.89+9822.7-6465.13</f>
        <v>63402.400000000001</v>
      </c>
      <c r="J8" s="11">
        <f>61919.72+1482.68</f>
        <v>63402.400000000001</v>
      </c>
      <c r="K8" s="11">
        <f>74275.42+1482.68</f>
        <v>75758.099999999991</v>
      </c>
      <c r="L8" s="11">
        <f>74275.42+1482.68</f>
        <v>75758.099999999991</v>
      </c>
      <c r="M8" s="11">
        <f>74275.42+1482.68</f>
        <v>75758.099999999991</v>
      </c>
      <c r="N8" s="11">
        <f>SUM(B8:M8)</f>
        <v>798884.44</v>
      </c>
    </row>
    <row r="9" spans="1:18" ht="24.75" customHeight="1" thickBot="1" x14ac:dyDescent="0.3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43.79</v>
      </c>
      <c r="K9" s="11">
        <v>14.13</v>
      </c>
      <c r="L9" s="11">
        <v>0</v>
      </c>
      <c r="M9" s="11">
        <v>0</v>
      </c>
      <c r="N9" s="11">
        <f t="shared" ref="N9:N15" si="14">SUM(B9:M9)</f>
        <v>57.92</v>
      </c>
    </row>
    <row r="10" spans="1:18" ht="24.75" customHeight="1" thickBot="1" x14ac:dyDescent="0.3">
      <c r="A10" s="4" t="s">
        <v>18</v>
      </c>
      <c r="B10" s="11">
        <v>250.47</v>
      </c>
      <c r="C10" s="11">
        <v>250.47</v>
      </c>
      <c r="D10" s="11">
        <v>250.47</v>
      </c>
      <c r="E10" s="11">
        <v>250.47</v>
      </c>
      <c r="F10" s="11">
        <v>250.47</v>
      </c>
      <c r="G10" s="11">
        <v>250.47</v>
      </c>
      <c r="H10" s="11">
        <v>250.47</v>
      </c>
      <c r="I10" s="11">
        <v>260.13</v>
      </c>
      <c r="J10" s="11">
        <v>260.13</v>
      </c>
      <c r="K10" s="11">
        <v>173.34</v>
      </c>
      <c r="L10" s="11">
        <v>173.34</v>
      </c>
      <c r="M10" s="11">
        <v>173.38</v>
      </c>
      <c r="N10" s="11">
        <f t="shared" si="14"/>
        <v>2793.6100000000006</v>
      </c>
    </row>
    <row r="11" spans="1:18" ht="24.75" customHeight="1" thickBot="1" x14ac:dyDescent="0.3">
      <c r="A11" s="4" t="s">
        <v>19</v>
      </c>
      <c r="B11" s="11">
        <v>0</v>
      </c>
      <c r="C11" s="11">
        <v>4702.45</v>
      </c>
      <c r="D11" s="11">
        <v>7956.02</v>
      </c>
      <c r="E11" s="11">
        <v>6974.99</v>
      </c>
      <c r="F11" s="11">
        <v>0</v>
      </c>
      <c r="G11" s="11">
        <v>2249.9699999999998</v>
      </c>
      <c r="H11" s="11">
        <v>3104.98</v>
      </c>
      <c r="I11" s="11">
        <v>149.77000000000001</v>
      </c>
      <c r="J11" s="11">
        <v>0</v>
      </c>
      <c r="K11" s="11">
        <v>1595.87</v>
      </c>
      <c r="L11" s="11">
        <v>-6025.51</v>
      </c>
      <c r="M11" s="11">
        <v>0</v>
      </c>
      <c r="N11" s="11">
        <f t="shared" si="14"/>
        <v>20708.54</v>
      </c>
    </row>
    <row r="12" spans="1:18" ht="24.75" customHeight="1" thickBot="1" x14ac:dyDescent="0.3">
      <c r="A12" s="4" t="s">
        <v>44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5600</v>
      </c>
      <c r="M12" s="11">
        <v>5600</v>
      </c>
      <c r="N12" s="11">
        <f>SUM(B12:M12)</f>
        <v>11200</v>
      </c>
    </row>
    <row r="13" spans="1:18" ht="24.75" customHeight="1" thickBot="1" x14ac:dyDescent="0.3">
      <c r="A13" s="4" t="s">
        <v>26</v>
      </c>
      <c r="B13" s="11">
        <v>343.51</v>
      </c>
      <c r="C13" s="11">
        <v>343.51</v>
      </c>
      <c r="D13" s="11">
        <v>343.51</v>
      </c>
      <c r="E13" s="11">
        <v>343.51</v>
      </c>
      <c r="F13" s="11">
        <v>343.51</v>
      </c>
      <c r="G13" s="11">
        <v>343.51</v>
      </c>
      <c r="H13" s="11">
        <v>343.51</v>
      </c>
      <c r="I13" s="11">
        <v>343.51</v>
      </c>
      <c r="J13" s="11">
        <v>343.51</v>
      </c>
      <c r="K13" s="11">
        <v>343.51</v>
      </c>
      <c r="L13" s="11">
        <v>343.51</v>
      </c>
      <c r="M13" s="11">
        <v>452.92</v>
      </c>
      <c r="N13" s="11">
        <f t="shared" si="14"/>
        <v>4231.5300000000007</v>
      </c>
    </row>
    <row r="14" spans="1:18" ht="24.75" hidden="1" customHeight="1" thickBot="1" x14ac:dyDescent="0.3">
      <c r="A14" s="4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20"/>
      <c r="L14" s="11"/>
      <c r="M14" s="11"/>
      <c r="N14" s="11">
        <f t="shared" si="14"/>
        <v>0</v>
      </c>
    </row>
    <row r="15" spans="1:18" ht="24.75" customHeight="1" thickBot="1" x14ac:dyDescent="0.3">
      <c r="A15" s="4" t="s">
        <v>15</v>
      </c>
      <c r="B15" s="11">
        <v>700</v>
      </c>
      <c r="C15" s="11">
        <v>700</v>
      </c>
      <c r="D15" s="11">
        <v>700</v>
      </c>
      <c r="E15" s="11">
        <v>700</v>
      </c>
      <c r="F15" s="11">
        <v>700</v>
      </c>
      <c r="G15" s="11">
        <v>700</v>
      </c>
      <c r="H15" s="11">
        <v>700</v>
      </c>
      <c r="I15" s="11">
        <v>700</v>
      </c>
      <c r="J15" s="11">
        <v>700</v>
      </c>
      <c r="K15" s="11">
        <v>700</v>
      </c>
      <c r="L15" s="11">
        <v>700</v>
      </c>
      <c r="M15" s="11">
        <v>700</v>
      </c>
      <c r="N15" s="11">
        <f t="shared" si="14"/>
        <v>8400</v>
      </c>
    </row>
    <row r="16" spans="1:18" ht="20.25" customHeight="1" thickBot="1" x14ac:dyDescent="0.3">
      <c r="A16" s="12" t="s">
        <v>8</v>
      </c>
      <c r="B16" s="13">
        <f>SUM(B17:B24)</f>
        <v>134256.08000000002</v>
      </c>
      <c r="C16" s="13">
        <f t="shared" ref="C16:G16" si="15">SUM(C17:C24)</f>
        <v>55045.55999999999</v>
      </c>
      <c r="D16" s="13">
        <f t="shared" si="15"/>
        <v>84722.62</v>
      </c>
      <c r="E16" s="13">
        <f t="shared" si="15"/>
        <v>66993.170000000013</v>
      </c>
      <c r="F16" s="13">
        <f t="shared" si="15"/>
        <v>57726.75</v>
      </c>
      <c r="G16" s="13">
        <f t="shared" si="15"/>
        <v>62597.310000000005</v>
      </c>
      <c r="H16" s="13">
        <f t="shared" ref="H16:M16" si="16">SUM(H17:H24)</f>
        <v>60672.789999999994</v>
      </c>
      <c r="I16" s="13">
        <f t="shared" si="16"/>
        <v>55614.150000000016</v>
      </c>
      <c r="J16" s="13">
        <f t="shared" si="16"/>
        <v>55380.289999999994</v>
      </c>
      <c r="K16" s="13">
        <f t="shared" si="16"/>
        <v>55718.94</v>
      </c>
      <c r="L16" s="13">
        <f t="shared" si="16"/>
        <v>67486.27</v>
      </c>
      <c r="M16" s="13">
        <f t="shared" si="16"/>
        <v>71029.759999999995</v>
      </c>
      <c r="N16" s="13">
        <f t="shared" ref="N16:N24" si="17">SUM(B16:M16)</f>
        <v>827243.69000000018</v>
      </c>
      <c r="P16" s="21"/>
    </row>
    <row r="17" spans="1:16" ht="24" customHeight="1" thickBot="1" x14ac:dyDescent="0.3">
      <c r="A17" s="4" t="s">
        <v>29</v>
      </c>
      <c r="B17" s="11">
        <f>122888.74+374.68+195.24+6.41+1067.91+534.08+50.6+10.22</f>
        <v>125127.88000000002</v>
      </c>
      <c r="C17" s="11">
        <f>52510.39+354.59+991.56+274</f>
        <v>54130.539999999994</v>
      </c>
      <c r="D17" s="11">
        <f>71563.2+360.75+1023.98+1000</f>
        <v>73947.929999999993</v>
      </c>
      <c r="E17" s="11">
        <f>54151.58+553.54+264.21+251.63+1099.12+517.19+0.08+2559.96</f>
        <v>59397.310000000005</v>
      </c>
      <c r="F17" s="11">
        <f>49937.36+346.1+980.82</f>
        <v>51264.28</v>
      </c>
      <c r="G17" s="11">
        <f>59238.74+403.22+1142.46+3.47+19.47</f>
        <v>60807.360000000001</v>
      </c>
      <c r="H17" s="11">
        <f>54515.52+352.39+998.49+1888.48</f>
        <v>57754.879999999997</v>
      </c>
      <c r="I17" s="11">
        <f>50902.79+125.94+833.8+356.85</f>
        <v>52219.380000000005</v>
      </c>
      <c r="J17" s="11">
        <f>52649.1+1571.31</f>
        <v>54220.409999999996</v>
      </c>
      <c r="K17" s="11">
        <f>53444.99+1261.32</f>
        <v>54706.31</v>
      </c>
      <c r="L17" s="11">
        <f>64082.73+1244.62</f>
        <v>65327.350000000006</v>
      </c>
      <c r="M17" s="11">
        <f>64217.77+1225.94</f>
        <v>65443.71</v>
      </c>
      <c r="N17" s="11">
        <f t="shared" si="17"/>
        <v>774347.34</v>
      </c>
    </row>
    <row r="18" spans="1:16" ht="26.25" customHeight="1" thickBot="1" x14ac:dyDescent="0.3">
      <c r="A18" s="4" t="s">
        <v>17</v>
      </c>
      <c r="B18" s="11">
        <v>1105.8499999999999</v>
      </c>
      <c r="C18" s="11">
        <v>93.52</v>
      </c>
      <c r="D18" s="11">
        <v>1278.03</v>
      </c>
      <c r="E18" s="11">
        <v>48.11</v>
      </c>
      <c r="F18" s="11">
        <v>1.95</v>
      </c>
      <c r="G18" s="11">
        <v>71.83</v>
      </c>
      <c r="H18" s="11">
        <v>57.39</v>
      </c>
      <c r="I18" s="11">
        <v>0.05</v>
      </c>
      <c r="J18" s="11">
        <v>0.02</v>
      </c>
      <c r="K18" s="11">
        <v>44.33</v>
      </c>
      <c r="L18" s="11">
        <v>35.94</v>
      </c>
      <c r="M18" s="11">
        <v>36.96</v>
      </c>
      <c r="N18" s="11">
        <f t="shared" si="17"/>
        <v>2773.9799999999996</v>
      </c>
    </row>
    <row r="19" spans="1:16" ht="26.25" customHeight="1" thickBot="1" x14ac:dyDescent="0.3">
      <c r="A19" s="4" t="s">
        <v>18</v>
      </c>
      <c r="B19" s="11">
        <v>433.39</v>
      </c>
      <c r="C19" s="11">
        <v>2.85</v>
      </c>
      <c r="D19" s="11">
        <v>657.43</v>
      </c>
      <c r="E19" s="11">
        <v>30.59</v>
      </c>
      <c r="F19" s="11">
        <v>146.97</v>
      </c>
      <c r="G19" s="11">
        <v>227.9</v>
      </c>
      <c r="H19" s="11">
        <v>213.74</v>
      </c>
      <c r="I19" s="11">
        <v>203.62</v>
      </c>
      <c r="J19" s="11">
        <v>218.36</v>
      </c>
      <c r="K19" s="11">
        <v>221.26</v>
      </c>
      <c r="L19" s="11">
        <v>152.63</v>
      </c>
      <c r="M19" s="11">
        <v>150.96</v>
      </c>
      <c r="N19" s="11">
        <f t="shared" si="17"/>
        <v>2659.7000000000007</v>
      </c>
    </row>
    <row r="20" spans="1:16" ht="26.25" customHeight="1" thickBot="1" x14ac:dyDescent="0.3">
      <c r="A20" s="4" t="s">
        <v>19</v>
      </c>
      <c r="B20" s="11">
        <v>6646.85</v>
      </c>
      <c r="C20" s="11">
        <v>126.07</v>
      </c>
      <c r="D20" s="11">
        <v>7868.24</v>
      </c>
      <c r="E20" s="11">
        <v>6814.31</v>
      </c>
      <c r="F20" s="11">
        <v>5636.47</v>
      </c>
      <c r="G20" s="11">
        <v>757.3</v>
      </c>
      <c r="H20" s="11">
        <v>1943.03</v>
      </c>
      <c r="I20" s="11">
        <v>2508.69</v>
      </c>
      <c r="J20" s="11">
        <v>249.45</v>
      </c>
      <c r="K20" s="11">
        <v>50.33</v>
      </c>
      <c r="L20" s="11">
        <v>1270.3599999999999</v>
      </c>
      <c r="M20" s="11">
        <v>76.900000000000006</v>
      </c>
      <c r="N20" s="11">
        <f t="shared" si="17"/>
        <v>33948</v>
      </c>
    </row>
    <row r="21" spans="1:16" ht="26.25" customHeight="1" thickBot="1" x14ac:dyDescent="0.3">
      <c r="A21" s="4" t="s">
        <v>44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4620.78</v>
      </c>
      <c r="N21" s="11">
        <f t="shared" si="17"/>
        <v>4620.78</v>
      </c>
    </row>
    <row r="22" spans="1:16" ht="26.25" customHeight="1" thickBot="1" x14ac:dyDescent="0.3">
      <c r="A22" s="4" t="s">
        <v>26</v>
      </c>
      <c r="B22" s="11">
        <v>542.11</v>
      </c>
      <c r="C22" s="11">
        <v>292.58</v>
      </c>
      <c r="D22" s="11">
        <v>570.99</v>
      </c>
      <c r="E22" s="11">
        <v>302.85000000000002</v>
      </c>
      <c r="F22" s="11">
        <v>277.08</v>
      </c>
      <c r="G22" s="11">
        <v>332.92</v>
      </c>
      <c r="H22" s="11">
        <v>303.75</v>
      </c>
      <c r="I22" s="11">
        <v>282.41000000000003</v>
      </c>
      <c r="J22" s="11">
        <v>292.05</v>
      </c>
      <c r="K22" s="11">
        <v>296.70999999999998</v>
      </c>
      <c r="L22" s="11">
        <v>299.99</v>
      </c>
      <c r="M22" s="11">
        <v>300.45</v>
      </c>
      <c r="N22" s="11">
        <f t="shared" si="17"/>
        <v>4093.8900000000003</v>
      </c>
    </row>
    <row r="23" spans="1:16" ht="26.25" hidden="1" customHeight="1" thickBot="1" x14ac:dyDescent="0.3">
      <c r="A23" s="4" t="s">
        <v>27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>
        <f t="shared" si="17"/>
        <v>0</v>
      </c>
    </row>
    <row r="24" spans="1:16" ht="26.25" customHeight="1" thickBot="1" x14ac:dyDescent="0.3">
      <c r="A24" s="4" t="s">
        <v>15</v>
      </c>
      <c r="B24" s="14">
        <v>400</v>
      </c>
      <c r="C24" s="14">
        <v>400</v>
      </c>
      <c r="D24" s="14">
        <v>400</v>
      </c>
      <c r="E24" s="14">
        <v>400</v>
      </c>
      <c r="F24" s="14">
        <v>400</v>
      </c>
      <c r="G24" s="14">
        <v>400</v>
      </c>
      <c r="H24" s="14">
        <v>400</v>
      </c>
      <c r="I24" s="14">
        <v>400</v>
      </c>
      <c r="J24" s="14">
        <v>400</v>
      </c>
      <c r="K24" s="14">
        <v>400</v>
      </c>
      <c r="L24" s="14">
        <v>400</v>
      </c>
      <c r="M24" s="14">
        <v>400</v>
      </c>
      <c r="N24" s="11">
        <f t="shared" si="17"/>
        <v>4800</v>
      </c>
      <c r="O24" s="3"/>
      <c r="P24" s="21"/>
    </row>
    <row r="25" spans="1:16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6" ht="19.5" customHeight="1" thickBot="1" x14ac:dyDescent="0.3">
      <c r="A26" s="4" t="s">
        <v>1</v>
      </c>
      <c r="B26" s="11">
        <f t="shared" ref="B26:K26" si="18">3530.2*0.55</f>
        <v>1941.6100000000001</v>
      </c>
      <c r="C26" s="11">
        <f t="shared" si="18"/>
        <v>1941.6100000000001</v>
      </c>
      <c r="D26" s="11">
        <f t="shared" si="18"/>
        <v>1941.6100000000001</v>
      </c>
      <c r="E26" s="11">
        <f t="shared" si="18"/>
        <v>1941.6100000000001</v>
      </c>
      <c r="F26" s="11">
        <f t="shared" si="18"/>
        <v>1941.6100000000001</v>
      </c>
      <c r="G26" s="11">
        <f t="shared" si="18"/>
        <v>1941.6100000000001</v>
      </c>
      <c r="H26" s="11">
        <f t="shared" si="18"/>
        <v>1941.6100000000001</v>
      </c>
      <c r="I26" s="11">
        <f t="shared" si="18"/>
        <v>1941.6100000000001</v>
      </c>
      <c r="J26" s="11">
        <f t="shared" si="18"/>
        <v>1941.6100000000001</v>
      </c>
      <c r="K26" s="11">
        <f t="shared" si="18"/>
        <v>1941.6100000000001</v>
      </c>
      <c r="L26" s="11">
        <f>3530.2*0.6</f>
        <v>2118.12</v>
      </c>
      <c r="M26" s="11">
        <f>3530.2*0.6</f>
        <v>2118.12</v>
      </c>
      <c r="N26" s="11">
        <f>SUM(B26:M26)</f>
        <v>23652.34</v>
      </c>
    </row>
    <row r="27" spans="1:16" ht="22.5" customHeight="1" thickBot="1" x14ac:dyDescent="0.3">
      <c r="A27" s="4" t="s">
        <v>2</v>
      </c>
      <c r="B27" s="11">
        <f t="shared" ref="B27:M27" si="19">3530.2*0.17</f>
        <v>600.13400000000001</v>
      </c>
      <c r="C27" s="11">
        <f t="shared" si="19"/>
        <v>600.13400000000001</v>
      </c>
      <c r="D27" s="11">
        <f t="shared" si="19"/>
        <v>600.13400000000001</v>
      </c>
      <c r="E27" s="11">
        <f t="shared" si="19"/>
        <v>600.13400000000001</v>
      </c>
      <c r="F27" s="11">
        <f t="shared" si="19"/>
        <v>600.13400000000001</v>
      </c>
      <c r="G27" s="11">
        <f t="shared" si="19"/>
        <v>600.13400000000001</v>
      </c>
      <c r="H27" s="11">
        <f t="shared" si="19"/>
        <v>600.13400000000001</v>
      </c>
      <c r="I27" s="11">
        <f t="shared" si="19"/>
        <v>600.13400000000001</v>
      </c>
      <c r="J27" s="11">
        <f t="shared" si="19"/>
        <v>600.13400000000001</v>
      </c>
      <c r="K27" s="11">
        <f t="shared" si="19"/>
        <v>600.13400000000001</v>
      </c>
      <c r="L27" s="11">
        <f t="shared" si="19"/>
        <v>600.13400000000001</v>
      </c>
      <c r="M27" s="11">
        <f t="shared" si="19"/>
        <v>600.13400000000001</v>
      </c>
      <c r="N27" s="11">
        <f t="shared" ref="N27:N39" si="20">SUM(B27:M27)</f>
        <v>7201.6080000000002</v>
      </c>
    </row>
    <row r="28" spans="1:16" ht="21" customHeight="1" thickBot="1" x14ac:dyDescent="0.3">
      <c r="A28" s="4" t="s">
        <v>3</v>
      </c>
      <c r="B28" s="11">
        <f>64137.6*2.3%</f>
        <v>1475.1648</v>
      </c>
      <c r="C28" s="11">
        <f>68840.05*2.3%</f>
        <v>1583.32115</v>
      </c>
      <c r="D28" s="11">
        <f>72093.62*2.3%</f>
        <v>1658.1532599999998</v>
      </c>
      <c r="E28" s="11">
        <f>71112.59*2.3%</f>
        <v>1635.5895699999999</v>
      </c>
      <c r="F28" s="11">
        <f>64137.6*2.3%</f>
        <v>1475.1648</v>
      </c>
      <c r="G28" s="11">
        <f>66387.57*2.3%</f>
        <v>1526.9141100000002</v>
      </c>
      <c r="H28" s="11">
        <f>67242.58*2.3%</f>
        <v>1546.57934</v>
      </c>
      <c r="I28" s="11">
        <f>64155.81*2.3%</f>
        <v>1475.5836299999999</v>
      </c>
      <c r="J28" s="11">
        <f>64049.83*2.3%</f>
        <v>1473.14609</v>
      </c>
      <c r="K28" s="11">
        <f>77884.95*2.3%</f>
        <v>1791.35385</v>
      </c>
      <c r="L28" s="11">
        <f>75849.44*2.3%</f>
        <v>1744.53712</v>
      </c>
      <c r="M28" s="11">
        <f>81984.4*2.3%</f>
        <v>1885.6411999999998</v>
      </c>
      <c r="N28" s="11">
        <f t="shared" si="20"/>
        <v>19271.148919999996</v>
      </c>
    </row>
    <row r="29" spans="1:16" ht="23.25" customHeight="1" thickBot="1" x14ac:dyDescent="0.3">
      <c r="A29" s="4" t="s">
        <v>4</v>
      </c>
      <c r="B29" s="11">
        <f>133856.08*3%</f>
        <v>4015.6823999999997</v>
      </c>
      <c r="C29" s="11">
        <f>54645.56*3%</f>
        <v>1639.3667999999998</v>
      </c>
      <c r="D29" s="11">
        <f>84322.62*3%</f>
        <v>2529.6785999999997</v>
      </c>
      <c r="E29" s="11">
        <f>66593.17*3%</f>
        <v>1997.7950999999998</v>
      </c>
      <c r="F29" s="11">
        <f>57326.75*3%</f>
        <v>1719.8025</v>
      </c>
      <c r="G29" s="11">
        <f>62197.31*3%</f>
        <v>1865.9192999999998</v>
      </c>
      <c r="H29" s="11">
        <f>60272.79*3%</f>
        <v>1808.1837</v>
      </c>
      <c r="I29" s="11">
        <f>55214.15*3%</f>
        <v>1656.4245000000001</v>
      </c>
      <c r="J29" s="11">
        <f>54980.29*3%</f>
        <v>1649.4087</v>
      </c>
      <c r="K29" s="11">
        <f>55318.94*3%</f>
        <v>1659.5681999999999</v>
      </c>
      <c r="L29" s="11">
        <f>67086.27*3%</f>
        <v>2012.5880999999999</v>
      </c>
      <c r="M29" s="11">
        <f>70629.76*3%</f>
        <v>2118.8927999999996</v>
      </c>
      <c r="N29" s="11">
        <f t="shared" si="20"/>
        <v>24673.310700000002</v>
      </c>
    </row>
    <row r="30" spans="1:16" ht="23.25" customHeight="1" thickBot="1" x14ac:dyDescent="0.3">
      <c r="A30" s="4" t="s">
        <v>9</v>
      </c>
      <c r="B30" s="11">
        <f t="shared" ref="B30:G30" si="21">3530.2*8.5</f>
        <v>30006.699999999997</v>
      </c>
      <c r="C30" s="11">
        <f t="shared" si="21"/>
        <v>30006.699999999997</v>
      </c>
      <c r="D30" s="11">
        <f t="shared" si="21"/>
        <v>30006.699999999997</v>
      </c>
      <c r="E30" s="11">
        <f t="shared" si="21"/>
        <v>30006.699999999997</v>
      </c>
      <c r="F30" s="11">
        <f t="shared" si="21"/>
        <v>30006.699999999997</v>
      </c>
      <c r="G30" s="11">
        <f t="shared" si="21"/>
        <v>30006.699999999997</v>
      </c>
      <c r="H30" s="11">
        <f>3530.2*9.7</f>
        <v>34242.939999999995</v>
      </c>
      <c r="I30" s="11">
        <f t="shared" ref="I30:M30" si="22">3530.2*9.7</f>
        <v>34242.939999999995</v>
      </c>
      <c r="J30" s="11">
        <f t="shared" si="22"/>
        <v>34242.939999999995</v>
      </c>
      <c r="K30" s="11">
        <f t="shared" si="22"/>
        <v>34242.939999999995</v>
      </c>
      <c r="L30" s="11">
        <f t="shared" si="22"/>
        <v>34242.939999999995</v>
      </c>
      <c r="M30" s="11">
        <f t="shared" si="22"/>
        <v>34242.939999999995</v>
      </c>
      <c r="N30" s="11">
        <f t="shared" si="20"/>
        <v>385497.84</v>
      </c>
    </row>
    <row r="31" spans="1:16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f>41.43+2.37</f>
        <v>43.8</v>
      </c>
      <c r="J31" s="11">
        <f>13.48+0.74</f>
        <v>14.22</v>
      </c>
      <c r="K31" s="11">
        <v>0</v>
      </c>
      <c r="L31" s="11">
        <v>0</v>
      </c>
      <c r="M31" s="11">
        <v>0</v>
      </c>
      <c r="N31" s="11">
        <f t="shared" si="20"/>
        <v>58.019999999999996</v>
      </c>
    </row>
    <row r="32" spans="1:16" ht="26.25" customHeight="1" thickBot="1" x14ac:dyDescent="0.3">
      <c r="A32" s="4" t="s">
        <v>21</v>
      </c>
      <c r="B32" s="11">
        <v>250.55</v>
      </c>
      <c r="C32" s="11">
        <v>250.55</v>
      </c>
      <c r="D32" s="11">
        <v>250.55</v>
      </c>
      <c r="E32" s="11">
        <v>250.55</v>
      </c>
      <c r="F32" s="11">
        <v>250.55</v>
      </c>
      <c r="G32" s="11">
        <v>250.55</v>
      </c>
      <c r="H32" s="11">
        <v>260.08</v>
      </c>
      <c r="I32" s="11">
        <v>260.08</v>
      </c>
      <c r="J32" s="11">
        <v>260.08</v>
      </c>
      <c r="K32" s="11">
        <v>260.08</v>
      </c>
      <c r="L32" s="11">
        <v>260.08</v>
      </c>
      <c r="M32" s="11">
        <v>352.15</v>
      </c>
      <c r="N32" s="11">
        <f t="shared" si="20"/>
        <v>3155.85</v>
      </c>
    </row>
    <row r="33" spans="1:14" ht="26.25" customHeight="1" thickBot="1" x14ac:dyDescent="0.3">
      <c r="A33" s="4" t="s">
        <v>22</v>
      </c>
      <c r="B33" s="11">
        <v>4702.5</v>
      </c>
      <c r="C33" s="11">
        <v>7956</v>
      </c>
      <c r="D33" s="11">
        <v>6975</v>
      </c>
      <c r="E33" s="11">
        <v>0</v>
      </c>
      <c r="F33" s="11">
        <v>2250</v>
      </c>
      <c r="G33" s="11">
        <v>3105</v>
      </c>
      <c r="H33" s="11">
        <v>149.76</v>
      </c>
      <c r="I33" s="11">
        <v>0</v>
      </c>
      <c r="J33" s="11">
        <v>1595.88</v>
      </c>
      <c r="K33" s="11">
        <v>3168.36</v>
      </c>
      <c r="L33" s="11">
        <v>0</v>
      </c>
      <c r="M33" s="11">
        <v>39576</v>
      </c>
      <c r="N33" s="11">
        <f t="shared" si="20"/>
        <v>69478.5</v>
      </c>
    </row>
    <row r="34" spans="1:14" ht="26.25" customHeight="1" thickBot="1" x14ac:dyDescent="0.3">
      <c r="A34" s="4" t="s">
        <v>26</v>
      </c>
      <c r="B34" s="11">
        <v>343.54</v>
      </c>
      <c r="C34" s="11">
        <v>343.54</v>
      </c>
      <c r="D34" s="11">
        <v>343.54</v>
      </c>
      <c r="E34" s="11">
        <v>343.54</v>
      </c>
      <c r="F34" s="11">
        <v>343.54</v>
      </c>
      <c r="G34" s="11">
        <v>343.54</v>
      </c>
      <c r="H34" s="11">
        <v>343.54</v>
      </c>
      <c r="I34" s="11">
        <v>343.54</v>
      </c>
      <c r="J34" s="11">
        <v>343.54</v>
      </c>
      <c r="K34" s="11">
        <v>343.54</v>
      </c>
      <c r="L34" s="11">
        <v>343.54</v>
      </c>
      <c r="M34" s="11">
        <v>453.01</v>
      </c>
      <c r="N34" s="11">
        <f t="shared" si="20"/>
        <v>4231.95</v>
      </c>
    </row>
    <row r="35" spans="1:14" ht="22.5" customHeight="1" thickBot="1" x14ac:dyDescent="0.3">
      <c r="A35" s="4" t="s">
        <v>6</v>
      </c>
      <c r="B35" s="11">
        <f t="shared" ref="B35:J35" si="23">3530.2*2.63</f>
        <v>9284.4259999999995</v>
      </c>
      <c r="C35" s="11">
        <f t="shared" si="23"/>
        <v>9284.4259999999995</v>
      </c>
      <c r="D35" s="11">
        <f t="shared" si="23"/>
        <v>9284.4259999999995</v>
      </c>
      <c r="E35" s="11">
        <f t="shared" si="23"/>
        <v>9284.4259999999995</v>
      </c>
      <c r="F35" s="11">
        <f t="shared" si="23"/>
        <v>9284.4259999999995</v>
      </c>
      <c r="G35" s="11">
        <f t="shared" si="23"/>
        <v>9284.4259999999995</v>
      </c>
      <c r="H35" s="11">
        <f t="shared" si="23"/>
        <v>9284.4259999999995</v>
      </c>
      <c r="I35" s="11">
        <f t="shared" si="23"/>
        <v>9284.4259999999995</v>
      </c>
      <c r="J35" s="11">
        <f t="shared" si="23"/>
        <v>9284.4259999999995</v>
      </c>
      <c r="K35" s="11">
        <f>3530.2*3.15</f>
        <v>11120.13</v>
      </c>
      <c r="L35" s="11">
        <f t="shared" ref="L35:M35" si="24">3530.2*3.15</f>
        <v>11120.13</v>
      </c>
      <c r="M35" s="11">
        <f t="shared" si="24"/>
        <v>11120.13</v>
      </c>
      <c r="N35" s="11">
        <f t="shared" si="20"/>
        <v>116920.22400000002</v>
      </c>
    </row>
    <row r="36" spans="1:14" ht="21.75" customHeight="1" thickBot="1" x14ac:dyDescent="0.3">
      <c r="A36" s="4" t="s">
        <v>44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4045</v>
      </c>
      <c r="N36" s="11">
        <f t="shared" si="20"/>
        <v>4045</v>
      </c>
    </row>
    <row r="37" spans="1:14" ht="24.75" customHeight="1" thickBot="1" x14ac:dyDescent="0.3">
      <c r="A37" s="4" t="s">
        <v>25</v>
      </c>
      <c r="B37" s="11">
        <f>1140</f>
        <v>1140</v>
      </c>
      <c r="C37" s="11">
        <f>1140</f>
        <v>1140</v>
      </c>
      <c r="D37" s="11">
        <f>1140</f>
        <v>1140</v>
      </c>
      <c r="E37" s="11">
        <f>1140</f>
        <v>1140</v>
      </c>
      <c r="F37" s="11">
        <f>1140</f>
        <v>1140</v>
      </c>
      <c r="G37" s="11">
        <v>900</v>
      </c>
      <c r="H37" s="11">
        <v>900</v>
      </c>
      <c r="I37" s="11">
        <v>900</v>
      </c>
      <c r="J37" s="11">
        <v>900</v>
      </c>
      <c r="K37" s="11">
        <f>900</f>
        <v>900</v>
      </c>
      <c r="L37" s="11">
        <f>900</f>
        <v>900</v>
      </c>
      <c r="M37" s="11">
        <f>900</f>
        <v>900</v>
      </c>
      <c r="N37" s="11">
        <f t="shared" si="20"/>
        <v>12000</v>
      </c>
    </row>
    <row r="38" spans="1:14" ht="24.75" customHeight="1" thickBot="1" x14ac:dyDescent="0.3">
      <c r="A38" s="4" t="s">
        <v>14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15244.85</v>
      </c>
      <c r="J38" s="11">
        <v>0</v>
      </c>
      <c r="K38" s="11">
        <v>0</v>
      </c>
      <c r="L38" s="11">
        <v>0</v>
      </c>
      <c r="M38" s="11">
        <v>0</v>
      </c>
      <c r="N38" s="11">
        <f t="shared" si="20"/>
        <v>15244.85</v>
      </c>
    </row>
    <row r="39" spans="1:14" ht="24" customHeight="1" thickBot="1" x14ac:dyDescent="0.3">
      <c r="A39" s="4" t="s">
        <v>10</v>
      </c>
      <c r="B39" s="11">
        <f>1827.8</f>
        <v>1827.8</v>
      </c>
      <c r="C39" s="11">
        <v>0</v>
      </c>
      <c r="D39" s="11">
        <v>0</v>
      </c>
      <c r="E39" s="11">
        <f>2269.3+2269.3+2602.1+290.3+5427.2+2713.6</f>
        <v>15571.800000000001</v>
      </c>
      <c r="F39" s="11">
        <f>1244.3</f>
        <v>1244.3</v>
      </c>
      <c r="G39" s="11">
        <f>105</f>
        <v>105</v>
      </c>
      <c r="H39" s="11">
        <v>0</v>
      </c>
      <c r="I39" s="11">
        <f>75+538.6+2263.6</f>
        <v>2877.2</v>
      </c>
      <c r="J39" s="11">
        <f>1047.5+1888.6+28500</f>
        <v>31436.1</v>
      </c>
      <c r="K39" s="11">
        <f>25884+5763.6+1856.6</f>
        <v>33504.199999999997</v>
      </c>
      <c r="L39" s="11">
        <f>90+1708.9+91423.7</f>
        <v>93222.599999999991</v>
      </c>
      <c r="M39" s="11">
        <v>15175.4</v>
      </c>
      <c r="N39" s="11">
        <f t="shared" si="20"/>
        <v>194964.4</v>
      </c>
    </row>
    <row r="40" spans="1:14" ht="22.5" customHeight="1" thickBot="1" x14ac:dyDescent="0.3">
      <c r="A40" s="9" t="s">
        <v>23</v>
      </c>
      <c r="B40" s="10">
        <f t="shared" ref="B40:M40" si="25">SUM(B26:B39)</f>
        <v>55588.107200000006</v>
      </c>
      <c r="C40" s="10">
        <f t="shared" si="25"/>
        <v>54745.647949999999</v>
      </c>
      <c r="D40" s="10">
        <f t="shared" si="25"/>
        <v>54729.791859999998</v>
      </c>
      <c r="E40" s="10">
        <f t="shared" si="25"/>
        <v>62772.144670000001</v>
      </c>
      <c r="F40" s="10">
        <f t="shared" si="25"/>
        <v>50256.227300000006</v>
      </c>
      <c r="G40" s="10">
        <f t="shared" si="25"/>
        <v>49929.793409999998</v>
      </c>
      <c r="H40" s="10">
        <f t="shared" si="25"/>
        <v>51077.253040000003</v>
      </c>
      <c r="I40" s="10">
        <f t="shared" si="25"/>
        <v>68870.588130000004</v>
      </c>
      <c r="J40" s="10">
        <f t="shared" si="25"/>
        <v>83741.484789999988</v>
      </c>
      <c r="K40" s="10">
        <f t="shared" si="25"/>
        <v>89531.91605</v>
      </c>
      <c r="L40" s="10">
        <f t="shared" si="25"/>
        <v>146564.66921999998</v>
      </c>
      <c r="M40" s="10">
        <f t="shared" si="25"/>
        <v>112587.41799999999</v>
      </c>
      <c r="N40" s="10">
        <f>SUM(B40:M40)</f>
        <v>880395.04161999992</v>
      </c>
    </row>
    <row r="41" spans="1:14" ht="23.25" customHeight="1" thickBot="1" x14ac:dyDescent="0.3">
      <c r="A41" s="4" t="s">
        <v>5</v>
      </c>
      <c r="B41" s="18">
        <f t="shared" ref="B41:N41" si="26">B16-B40</f>
        <v>78667.972800000018</v>
      </c>
      <c r="C41" s="18">
        <f t="shared" si="26"/>
        <v>299.91204999999172</v>
      </c>
      <c r="D41" s="18">
        <f t="shared" si="26"/>
        <v>29992.828139999998</v>
      </c>
      <c r="E41" s="18">
        <f t="shared" si="26"/>
        <v>4221.0253300000113</v>
      </c>
      <c r="F41" s="18">
        <f t="shared" si="26"/>
        <v>7470.5226999999941</v>
      </c>
      <c r="G41" s="18">
        <f t="shared" si="26"/>
        <v>12667.516590000007</v>
      </c>
      <c r="H41" s="18">
        <f t="shared" si="26"/>
        <v>9595.5369599999904</v>
      </c>
      <c r="I41" s="18">
        <f t="shared" si="26"/>
        <v>-13256.438129999988</v>
      </c>
      <c r="J41" s="18">
        <f t="shared" si="26"/>
        <v>-28361.194789999994</v>
      </c>
      <c r="K41" s="18">
        <f t="shared" si="26"/>
        <v>-33812.976049999997</v>
      </c>
      <c r="L41" s="18">
        <f t="shared" si="26"/>
        <v>-79078.399219999978</v>
      </c>
      <c r="M41" s="18">
        <f t="shared" si="26"/>
        <v>-41557.657999999996</v>
      </c>
      <c r="N41" s="11">
        <f t="shared" si="26"/>
        <v>-53151.351619999739</v>
      </c>
    </row>
    <row r="42" spans="1:14" ht="23.25" customHeight="1" thickBot="1" x14ac:dyDescent="0.3">
      <c r="A42" s="4" t="s">
        <v>7</v>
      </c>
      <c r="B42" s="14">
        <f t="shared" ref="B42:N42" si="27">B5+B41</f>
        <v>-345130.28720000002</v>
      </c>
      <c r="C42" s="14">
        <f t="shared" si="27"/>
        <v>-344830.37515000004</v>
      </c>
      <c r="D42" s="14">
        <f t="shared" si="27"/>
        <v>-314837.54701000004</v>
      </c>
      <c r="E42" s="14">
        <f t="shared" si="27"/>
        <v>-310616.52168000001</v>
      </c>
      <c r="F42" s="14">
        <f t="shared" si="27"/>
        <v>-303145.99898000003</v>
      </c>
      <c r="G42" s="14">
        <f t="shared" si="27"/>
        <v>-290478.48239000002</v>
      </c>
      <c r="H42" s="14">
        <f t="shared" si="27"/>
        <v>-280882.94543000002</v>
      </c>
      <c r="I42" s="14">
        <f t="shared" si="27"/>
        <v>-294139.38355999999</v>
      </c>
      <c r="J42" s="14">
        <f t="shared" si="27"/>
        <v>-322500.57834999997</v>
      </c>
      <c r="K42" s="14">
        <f t="shared" si="27"/>
        <v>-356313.55439999996</v>
      </c>
      <c r="L42" s="14">
        <f t="shared" si="27"/>
        <v>-435391.95361999993</v>
      </c>
      <c r="M42" s="14">
        <f t="shared" si="27"/>
        <v>-476949.61161999992</v>
      </c>
      <c r="N42" s="14">
        <f t="shared" si="27"/>
        <v>-476949.61161999975</v>
      </c>
    </row>
    <row r="43" spans="1:14" ht="27" customHeight="1" thickBot="1" x14ac:dyDescent="0.3">
      <c r="A43" s="15" t="s">
        <v>11</v>
      </c>
      <c r="B43" s="19">
        <f t="shared" ref="B43:N43" si="28">B6+B16-B7</f>
        <v>-211194.12999999998</v>
      </c>
      <c r="C43" s="19">
        <f t="shared" si="28"/>
        <v>-225688.62</v>
      </c>
      <c r="D43" s="19">
        <f t="shared" si="28"/>
        <v>-213759.62</v>
      </c>
      <c r="E43" s="19">
        <f t="shared" si="28"/>
        <v>-218579.03999999998</v>
      </c>
      <c r="F43" s="19">
        <f t="shared" si="28"/>
        <v>-225689.88999999998</v>
      </c>
      <c r="G43" s="19">
        <f t="shared" si="28"/>
        <v>-230180.14999999997</v>
      </c>
      <c r="H43" s="19">
        <f t="shared" si="28"/>
        <v>-237449.94</v>
      </c>
      <c r="I43" s="19">
        <f t="shared" si="28"/>
        <v>-246691.59999999998</v>
      </c>
      <c r="J43" s="19">
        <f t="shared" si="28"/>
        <v>-256061.14</v>
      </c>
      <c r="K43" s="19">
        <f t="shared" si="28"/>
        <v>-278927.15000000002</v>
      </c>
      <c r="L43" s="19">
        <f t="shared" si="28"/>
        <v>-287990.32</v>
      </c>
      <c r="M43" s="19">
        <f t="shared" si="28"/>
        <v>-299644.95999999996</v>
      </c>
      <c r="N43" s="19">
        <f t="shared" si="28"/>
        <v>-299644.95999999961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2023-03-20T04:32:02Z</cp:lastPrinted>
  <dcterms:created xsi:type="dcterms:W3CDTF">2011-06-06T03:25:48Z</dcterms:created>
  <dcterms:modified xsi:type="dcterms:W3CDTF">2023-03-20T09:41:04Z</dcterms:modified>
</cp:coreProperties>
</file>