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9" i="1" l="1"/>
  <c r="M37" i="1" l="1"/>
  <c r="L37" i="1" l="1"/>
  <c r="K37" i="1" l="1"/>
  <c r="K39" i="1" l="1"/>
  <c r="L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M26" i="1"/>
  <c r="L26" i="1"/>
  <c r="K26" i="1"/>
  <c r="J39" i="1" l="1"/>
  <c r="I39" i="1" l="1"/>
  <c r="I30" i="1" l="1"/>
  <c r="J30" i="1"/>
  <c r="H30" i="1"/>
  <c r="J29" i="1" l="1"/>
  <c r="J17" i="1"/>
  <c r="J28" i="1"/>
  <c r="J8" i="1"/>
  <c r="H35" i="1"/>
  <c r="I35" i="1"/>
  <c r="J35" i="1"/>
  <c r="H27" i="1"/>
  <c r="I27" i="1"/>
  <c r="J27" i="1"/>
  <c r="H26" i="1"/>
  <c r="I26" i="1"/>
  <c r="J26" i="1"/>
  <c r="I29" i="1" l="1"/>
  <c r="I17" i="1"/>
  <c r="I28" i="1"/>
  <c r="I8" i="1"/>
  <c r="H39" i="1" l="1"/>
  <c r="H29" i="1" l="1"/>
  <c r="H17" i="1"/>
  <c r="H28" i="1"/>
  <c r="H8" i="1"/>
  <c r="F37" i="1" l="1"/>
  <c r="E37" i="1" l="1"/>
  <c r="G29" i="1" l="1"/>
  <c r="G17" i="1"/>
  <c r="G28" i="1"/>
  <c r="G8" i="1"/>
  <c r="F39" i="1" l="1"/>
  <c r="F29" i="1" l="1"/>
  <c r="F17" i="1"/>
  <c r="F28" i="1"/>
  <c r="F8" i="1"/>
  <c r="E39" i="1" l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37" i="1" l="1"/>
  <c r="C37" i="1" l="1"/>
  <c r="B37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23" i="1" l="1"/>
  <c r="N14" i="1"/>
  <c r="N6" i="1" l="1"/>
  <c r="N5" i="1"/>
  <c r="M7" i="1" l="1"/>
  <c r="N8" i="1"/>
  <c r="K7" i="1"/>
  <c r="N26" i="1"/>
  <c r="N27" i="1"/>
  <c r="N30" i="1"/>
  <c r="N31" i="1"/>
  <c r="N32" i="1"/>
  <c r="N33" i="1"/>
  <c r="N34" i="1"/>
  <c r="N35" i="1"/>
  <c r="N36" i="1"/>
  <c r="N37" i="1"/>
  <c r="N38" i="1"/>
  <c r="N39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M40" i="1" l="1"/>
  <c r="M41" i="1" s="1"/>
  <c r="L40" i="1"/>
  <c r="L41" i="1" s="1"/>
  <c r="L7" i="1"/>
  <c r="K40" i="1"/>
  <c r="K41" i="1" s="1"/>
  <c r="N29" i="1" l="1"/>
  <c r="H16" i="1" l="1"/>
  <c r="I16" i="1"/>
  <c r="J16" i="1"/>
  <c r="H7" i="1"/>
  <c r="J40" i="1" l="1"/>
  <c r="J41" i="1" s="1"/>
  <c r="J7" i="1"/>
  <c r="I7" i="1"/>
  <c r="I40" i="1"/>
  <c r="I41" i="1" s="1"/>
  <c r="H40" i="1" l="1"/>
  <c r="H41" i="1" s="1"/>
  <c r="N28" i="1" l="1"/>
  <c r="E16" i="1"/>
  <c r="F16" i="1"/>
  <c r="G16" i="1"/>
  <c r="E7" i="1"/>
  <c r="F7" i="1"/>
  <c r="G7" i="1"/>
  <c r="D16" i="1"/>
  <c r="D7" i="1"/>
  <c r="C16" i="1"/>
  <c r="C7" i="1"/>
  <c r="B16" i="1"/>
  <c r="B7" i="1"/>
  <c r="G40" i="1" l="1"/>
  <c r="G41" i="1" s="1"/>
  <c r="F40" i="1"/>
  <c r="F41" i="1" s="1"/>
  <c r="N16" i="1"/>
  <c r="N7" i="1"/>
  <c r="D40" i="1"/>
  <c r="D41" i="1" s="1"/>
  <c r="C40" i="1"/>
  <c r="C41" i="1" s="1"/>
  <c r="B43" i="1"/>
  <c r="C6" i="1" s="1"/>
  <c r="C43" i="1" s="1"/>
  <c r="D6" i="1" s="1"/>
  <c r="D43" i="1" s="1"/>
  <c r="E6" i="1" s="1"/>
  <c r="E43" i="1" s="1"/>
  <c r="F6" i="1" s="1"/>
  <c r="F43" i="1" l="1"/>
  <c r="G6" i="1" s="1"/>
  <c r="G43" i="1" s="1"/>
  <c r="H6" i="1" s="1"/>
  <c r="H43" i="1" s="1"/>
  <c r="I6" i="1" s="1"/>
  <c r="I43" i="1" s="1"/>
  <c r="J6" i="1" s="1"/>
  <c r="E40" i="1"/>
  <c r="B40" i="1"/>
  <c r="B41" i="1" s="1"/>
  <c r="B42" i="1" s="1"/>
  <c r="C5" i="1" s="1"/>
  <c r="J43" i="1" l="1"/>
  <c r="K6" i="1" s="1"/>
  <c r="K43" i="1" s="1"/>
  <c r="L6" i="1" s="1"/>
  <c r="L43" i="1" s="1"/>
  <c r="M6" i="1" s="1"/>
  <c r="M43" i="1" s="1"/>
  <c r="E41" i="1"/>
  <c r="N40" i="1"/>
  <c r="C42" i="1"/>
  <c r="D5" i="1" s="1"/>
  <c r="D42" i="1" l="1"/>
  <c r="E5" i="1" l="1"/>
  <c r="E42" i="1"/>
  <c r="F42" i="1" s="1"/>
  <c r="G42" i="1" s="1"/>
  <c r="F5" i="1" l="1"/>
  <c r="G5" i="1" l="1"/>
  <c r="H5" i="1" l="1"/>
  <c r="H42" i="1"/>
  <c r="I42" i="1" l="1"/>
  <c r="J42" i="1" s="1"/>
  <c r="I5" i="1"/>
  <c r="J5" i="1" l="1"/>
  <c r="N43" i="1"/>
  <c r="N41" i="1"/>
  <c r="N42" i="1"/>
  <c r="K5" i="1" l="1"/>
  <c r="K42" i="1"/>
  <c r="L5" i="1" l="1"/>
  <c r="L42" i="1"/>
  <c r="M42" i="1" l="1"/>
  <c r="M5" i="1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<sst xmlns="http://schemas.openxmlformats.org/spreadsheetml/2006/main" count="54" uniqueCount="45">
  <si>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</si>
  <si>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</si>
  <si>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</si>
  <si>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</si>
  <si>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</si>
  <si>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</si>
  <si>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</si>
  <si>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</si>
  <si>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</si>
  <si>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</si>
  <si>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</si>
  <si>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</si>
  <si>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</si>
  <si>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</si>
  <si>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</si>
  <si>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</si>
  <si>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</si>
  <si>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</si>
  <si>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</si>
  <si>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</si>
  <si>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</si>
  <si>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</si>
  <si>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</si>
  <si>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</si>
  <si>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</si>
  <si>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</si>
  <si>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ОИ</t>
  </si>
  <si>
    <t>Диагностика газового оборудования</t>
  </si>
  <si>
    <t>Содержание жилья и текущий ремонт,  ОПУ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</si>
  <si>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</si>
  <si>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</si>
  <si>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</si>
  <si>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</si>
  <si>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</t>
  </si>
  <si>
    <t>Май 2022г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</si>
  <si>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</si>
  <si>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</si>
  <si>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</si>
  <si>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</si>
  <si>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</si>
  <si>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</si>
  <si>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</si>
  <si>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</si>
  <si>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  ОТЧЕТ по дому Васильева, 49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</si>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</sst>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2" zoomScale="75" workbookViewId="0">
      <selection activeCell="A32" sqref="A32"/>
    </sheetView>
  </sheetViews>
  <sheetFormatPr defaultRowHeight="13.2" x14ac:dyDescent="0.25"/>
  <cols>
    <col min="1" max="1" width="58.6640625" customWidth="1"/>
    <col min="2" max="2" width="14.33203125" customWidth="1"/>
    <col min="3" max="3" width="15" customWidth="1"/>
    <col min="4" max="4" width="14.109375" customWidth="1"/>
    <col min="5" max="5" width="14.88671875" customWidth="1"/>
    <col min="6" max="6" width="14.33203125" customWidth="1"/>
    <col min="7" max="7" width="14.109375" customWidth="1"/>
    <col min="8" max="13" width="14.33203125" customWidth="1"/>
    <col min="14" max="14" width="20" customWidth="1"/>
  </cols>
  <sheetData>
    <row r="1" spans="1:18" ht="20.25" customHeight="1" x14ac:dyDescent="0.4">
      <c r="A1" s="23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20">
        <v>-540129.52</v>
      </c>
      <c r="C5" s="20">
        <f t="shared" ref="C5:D6" si="0">B42</f>
        <v>-516791.85094000003</v>
      </c>
      <c r="D5" s="20">
        <f t="shared" si="0"/>
        <v>-502438.42380000005</v>
      </c>
      <c r="E5" s="20">
        <f t="shared" ref="E5:E6" si="1">D42</f>
        <v>-486749.76528000005</v>
      </c>
      <c r="F5" s="20">
        <f t="shared" ref="F5:F6" si="2">E42</f>
        <v>-463234.54035000008</v>
      </c>
      <c r="G5" s="20">
        <f t="shared" ref="G5:G6" si="3">F42</f>
        <v>-465289.00246000011</v>
      </c>
      <c r="H5" s="20">
        <f t="shared" ref="H5:H6" si="4">G42</f>
        <v>-442354.92651000014</v>
      </c>
      <c r="I5" s="20">
        <f t="shared" ref="I5:I6" si="5">H42</f>
        <v>-429071.37744000013</v>
      </c>
      <c r="J5" s="20">
        <f t="shared" ref="J5:J6" si="6">I42</f>
        <v>-420288.50021000014</v>
      </c>
      <c r="K5" s="20">
        <f t="shared" ref="K5:K6" si="7">J42</f>
        <v>-398919.49436000013</v>
      </c>
      <c r="L5" s="20">
        <f t="shared" ref="L5:L6" si="8">K42</f>
        <v>-391514.93113000016</v>
      </c>
      <c r="M5" s="20">
        <f t="shared" ref="M5:M6" si="9">L42</f>
        <v>-364090.32989000017</v>
      </c>
      <c r="N5" s="20">
        <f>B5</f>
        <v>-540129.52</v>
      </c>
    </row>
    <row r="6" spans="1:18" ht="21" customHeight="1" thickBot="1" x14ac:dyDescent="0.3">
      <c r="A6" s="7" t="s">
        <v>13</v>
      </c>
      <c r="B6" s="20">
        <v>-182148.51</v>
      </c>
      <c r="C6" s="20">
        <f t="shared" si="0"/>
        <v>-178111.24000000002</v>
      </c>
      <c r="D6" s="20">
        <f t="shared" si="0"/>
        <v>-181955.99</v>
      </c>
      <c r="E6" s="20">
        <f t="shared" si="1"/>
        <v>-188821.25999999998</v>
      </c>
      <c r="F6" s="20">
        <f t="shared" si="2"/>
        <v>-164884.69999999998</v>
      </c>
      <c r="G6" s="20">
        <f t="shared" si="3"/>
        <v>-174312.25999999998</v>
      </c>
      <c r="H6" s="20">
        <f t="shared" si="4"/>
        <v>-172013.08000000002</v>
      </c>
      <c r="I6" s="20">
        <f t="shared" si="5"/>
        <v>-170361.19</v>
      </c>
      <c r="J6" s="20">
        <f t="shared" si="6"/>
        <v>-171883.84000000003</v>
      </c>
      <c r="K6" s="20">
        <f t="shared" si="7"/>
        <v>-170295.09</v>
      </c>
      <c r="L6" s="20">
        <f t="shared" si="8"/>
        <v>-167489.51</v>
      </c>
      <c r="M6" s="20">
        <f t="shared" si="9"/>
        <v>-155557.01</v>
      </c>
      <c r="N6" s="20">
        <f>B6</f>
        <v>-182148.51</v>
      </c>
    </row>
    <row r="7" spans="1:18" ht="20.25" customHeight="1" thickBot="1" x14ac:dyDescent="0.3">
      <c r="A7" s="8" t="s">
        <v>12</v>
      </c>
      <c r="B7" s="11">
        <f>SUM(B8:B15)</f>
        <v>77160.28</v>
      </c>
      <c r="C7" s="11">
        <f>SUM(C8:C15)</f>
        <v>77057.119999999995</v>
      </c>
      <c r="D7" s="11">
        <f>SUM(D8:D15)</f>
        <v>78092.859999999986</v>
      </c>
      <c r="E7" s="11">
        <f t="shared" ref="E7:M7" si="10">SUM(E8:E15)</f>
        <v>77343.59</v>
      </c>
      <c r="F7" s="11">
        <f t="shared" si="10"/>
        <v>81392.47</v>
      </c>
      <c r="G7" s="11">
        <f t="shared" si="10"/>
        <v>77986.05</v>
      </c>
      <c r="H7" s="11">
        <f t="shared" si="10"/>
        <v>76986.91</v>
      </c>
      <c r="I7" s="11">
        <f t="shared" si="10"/>
        <v>82151.59</v>
      </c>
      <c r="J7" s="11">
        <f t="shared" si="10"/>
        <v>76537.049999999988</v>
      </c>
      <c r="K7" s="11">
        <f t="shared" si="10"/>
        <v>72552.289999999994</v>
      </c>
      <c r="L7" s="11">
        <f t="shared" si="10"/>
        <v>78729.919999999998</v>
      </c>
      <c r="M7" s="11">
        <f t="shared" si="10"/>
        <v>72661.459999999992</v>
      </c>
      <c r="N7" s="11">
        <f>SUM(B7:M7)</f>
        <v>928651.59</v>
      </c>
    </row>
    <row r="8" spans="1:18" ht="24.75" customHeight="1" thickBot="1" x14ac:dyDescent="0.3">
      <c r="A8" s="4" t="s">
        <v>28</v>
      </c>
      <c r="B8" s="12">
        <f t="shared" ref="B8:G8" si="11">65728.68+424.05+1201.52</f>
        <v>67354.25</v>
      </c>
      <c r="C8" s="12">
        <f t="shared" si="11"/>
        <v>67354.25</v>
      </c>
      <c r="D8" s="12">
        <f t="shared" si="11"/>
        <v>67354.25</v>
      </c>
      <c r="E8" s="12">
        <f t="shared" si="11"/>
        <v>67354.25</v>
      </c>
      <c r="F8" s="12">
        <f t="shared" si="11"/>
        <v>67354.25</v>
      </c>
      <c r="G8" s="12">
        <f t="shared" si="11"/>
        <v>67354.25</v>
      </c>
      <c r="H8" s="12">
        <f>65728.68+424.05+1201.52</f>
        <v>67354.25</v>
      </c>
      <c r="I8" s="12">
        <f>65728.68+4244.78-2760.59</f>
        <v>67212.87</v>
      </c>
      <c r="J8" s="12">
        <f>65728.68+1484.19</f>
        <v>67212.87</v>
      </c>
      <c r="K8" s="12">
        <f>65728.68+1484.19</f>
        <v>67212.87</v>
      </c>
      <c r="L8" s="12">
        <f>65728.68+1484.19</f>
        <v>67212.87</v>
      </c>
      <c r="M8" s="12">
        <f>65728.68+1484.19</f>
        <v>67212.87</v>
      </c>
      <c r="N8" s="12">
        <f>SUM(B8:M8)</f>
        <v>807544.1</v>
      </c>
    </row>
    <row r="9" spans="1:18" ht="24.75" customHeight="1" thickBot="1" x14ac:dyDescent="0.3">
      <c r="A9" s="4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5" si="12">SUM(B9:M9)</f>
        <v>0</v>
      </c>
    </row>
    <row r="10" spans="1:18" ht="24.75" customHeight="1" thickBot="1" x14ac:dyDescent="0.3">
      <c r="A10" s="4" t="s">
        <v>18</v>
      </c>
      <c r="B10" s="12">
        <v>0</v>
      </c>
      <c r="C10" s="12">
        <v>1818.29</v>
      </c>
      <c r="D10" s="12">
        <v>2750.54</v>
      </c>
      <c r="E10" s="12">
        <v>2752.76</v>
      </c>
      <c r="F10" s="12">
        <v>249.69</v>
      </c>
      <c r="G10" s="12">
        <v>249.69</v>
      </c>
      <c r="H10" s="12">
        <v>249.69</v>
      </c>
      <c r="I10" s="12">
        <v>259.27999999999997</v>
      </c>
      <c r="J10" s="12">
        <v>259.27999999999997</v>
      </c>
      <c r="K10" s="12">
        <v>172.86</v>
      </c>
      <c r="L10" s="12">
        <v>172.86</v>
      </c>
      <c r="M10" s="12">
        <v>172.95</v>
      </c>
      <c r="N10" s="12">
        <f t="shared" si="12"/>
        <v>9107.8900000000012</v>
      </c>
    </row>
    <row r="11" spans="1:18" ht="24.75" customHeight="1" thickBot="1" x14ac:dyDescent="0.3">
      <c r="A11" s="4" t="s">
        <v>19</v>
      </c>
      <c r="B11" s="12">
        <v>4639.47</v>
      </c>
      <c r="C11" s="12">
        <v>2718.02</v>
      </c>
      <c r="D11" s="12">
        <v>2821.51</v>
      </c>
      <c r="E11" s="12">
        <v>2070.02</v>
      </c>
      <c r="F11" s="12">
        <v>8621.9699999999993</v>
      </c>
      <c r="G11" s="12">
        <v>5215.55</v>
      </c>
      <c r="H11" s="12">
        <v>4216.41</v>
      </c>
      <c r="I11" s="12">
        <v>8512.8799999999992</v>
      </c>
      <c r="J11" s="12">
        <v>3898.34</v>
      </c>
      <c r="K11" s="12">
        <v>0</v>
      </c>
      <c r="L11" s="12">
        <v>6177.63</v>
      </c>
      <c r="M11" s="12">
        <v>0</v>
      </c>
      <c r="N11" s="12">
        <f t="shared" si="12"/>
        <v>48891.799999999996</v>
      </c>
    </row>
    <row r="12" spans="1:18" ht="24.75" customHeight="1" thickBot="1" x14ac:dyDescent="0.3">
      <c r="A12" s="4" t="s">
        <v>26</v>
      </c>
      <c r="B12" s="12">
        <v>342.56</v>
      </c>
      <c r="C12" s="12">
        <v>342.56</v>
      </c>
      <c r="D12" s="12">
        <v>342.56</v>
      </c>
      <c r="E12" s="12">
        <v>342.56</v>
      </c>
      <c r="F12" s="12">
        <v>342.56</v>
      </c>
      <c r="G12" s="12">
        <v>342.56</v>
      </c>
      <c r="H12" s="12">
        <v>342.56</v>
      </c>
      <c r="I12" s="12">
        <v>342.56</v>
      </c>
      <c r="J12" s="12">
        <v>342.56</v>
      </c>
      <c r="K12" s="12">
        <v>342.56</v>
      </c>
      <c r="L12" s="12">
        <v>342.56</v>
      </c>
      <c r="M12" s="12">
        <v>451.64</v>
      </c>
      <c r="N12" s="12">
        <f t="shared" si="12"/>
        <v>4219.8</v>
      </c>
    </row>
    <row r="13" spans="1:18" ht="24.75" customHeight="1" thickBot="1" x14ac:dyDescent="0.3">
      <c r="A13" s="4" t="s">
        <v>44</v>
      </c>
      <c r="B13" s="12">
        <v>4224</v>
      </c>
      <c r="C13" s="12">
        <v>4224</v>
      </c>
      <c r="D13" s="12">
        <v>4224</v>
      </c>
      <c r="E13" s="12">
        <v>4224</v>
      </c>
      <c r="F13" s="12">
        <v>4224</v>
      </c>
      <c r="G13" s="12">
        <v>4224</v>
      </c>
      <c r="H13" s="12">
        <v>4224</v>
      </c>
      <c r="I13" s="12">
        <v>4224</v>
      </c>
      <c r="J13" s="12">
        <v>4224</v>
      </c>
      <c r="K13" s="12">
        <v>4224</v>
      </c>
      <c r="L13" s="12">
        <v>4224</v>
      </c>
      <c r="M13" s="12">
        <v>4224</v>
      </c>
      <c r="N13" s="12">
        <f t="shared" si="12"/>
        <v>50688</v>
      </c>
    </row>
    <row r="14" spans="1:18" ht="24.75" hidden="1" customHeight="1" thickBot="1" x14ac:dyDescent="0.3">
      <c r="A14" s="21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12"/>
        <v>0</v>
      </c>
    </row>
    <row r="15" spans="1:18" ht="24.75" customHeight="1" thickBot="1" x14ac:dyDescent="0.3">
      <c r="A15" s="4" t="s">
        <v>15</v>
      </c>
      <c r="B15" s="12">
        <v>600</v>
      </c>
      <c r="C15" s="12">
        <v>600</v>
      </c>
      <c r="D15" s="12">
        <v>600</v>
      </c>
      <c r="E15" s="12">
        <v>600</v>
      </c>
      <c r="F15" s="12">
        <v>600</v>
      </c>
      <c r="G15" s="12">
        <v>600</v>
      </c>
      <c r="H15" s="12">
        <v>600</v>
      </c>
      <c r="I15" s="12">
        <v>1600</v>
      </c>
      <c r="J15" s="12">
        <v>600</v>
      </c>
      <c r="K15" s="12">
        <v>600</v>
      </c>
      <c r="L15" s="12">
        <v>600</v>
      </c>
      <c r="M15" s="12">
        <v>600</v>
      </c>
      <c r="N15" s="12">
        <f t="shared" si="12"/>
        <v>8200</v>
      </c>
    </row>
    <row r="16" spans="1:18" ht="20.25" customHeight="1" thickBot="1" x14ac:dyDescent="0.3">
      <c r="A16" s="9" t="s">
        <v>8</v>
      </c>
      <c r="B16" s="13">
        <f>SUM(B17:B24)</f>
        <v>81197.549999999988</v>
      </c>
      <c r="C16" s="13">
        <f>SUM(C17:C24)</f>
        <v>73212.37000000001</v>
      </c>
      <c r="D16" s="13">
        <f>SUM(D17:D24)</f>
        <v>71227.59</v>
      </c>
      <c r="E16" s="13">
        <f t="shared" ref="E16:M16" si="13">SUM(E17:E24)</f>
        <v>101280.15</v>
      </c>
      <c r="F16" s="13">
        <f t="shared" si="13"/>
        <v>71964.91</v>
      </c>
      <c r="G16" s="13">
        <f t="shared" si="13"/>
        <v>80285.229999999981</v>
      </c>
      <c r="H16" s="13">
        <f t="shared" si="13"/>
        <v>78638.8</v>
      </c>
      <c r="I16" s="13">
        <f t="shared" si="13"/>
        <v>80628.939999999988</v>
      </c>
      <c r="J16" s="13">
        <f t="shared" si="13"/>
        <v>78125.800000000017</v>
      </c>
      <c r="K16" s="13">
        <f t="shared" si="13"/>
        <v>75357.87</v>
      </c>
      <c r="L16" s="13">
        <f t="shared" si="13"/>
        <v>90662.42</v>
      </c>
      <c r="M16" s="13">
        <f t="shared" si="13"/>
        <v>73271.819999999992</v>
      </c>
      <c r="N16" s="13">
        <f>SUM(B16:M16)</f>
        <v>955853.45</v>
      </c>
    </row>
    <row r="17" spans="1:15" ht="24" customHeight="1" thickBot="1" x14ac:dyDescent="0.3">
      <c r="A17" s="4" t="s">
        <v>29</v>
      </c>
      <c r="B17" s="12">
        <f>70673.7+579.08-82.27+1616.38+19.18</f>
        <v>72806.069999999992</v>
      </c>
      <c r="C17" s="12">
        <f>62066.5+511.05+1214.49</f>
        <v>63792.04</v>
      </c>
      <c r="D17" s="12">
        <f>62155.9+372.1+1054.61+39.5</f>
        <v>63622.11</v>
      </c>
      <c r="E17" s="12">
        <f>87953.81+638.39+1545.96</f>
        <v>90138.16</v>
      </c>
      <c r="F17" s="12">
        <f>60394.32+658.43+21.22+1432.12</f>
        <v>62506.090000000004</v>
      </c>
      <c r="G17" s="12">
        <f>64583.3+1062.4+1359.84</f>
        <v>67005.539999999994</v>
      </c>
      <c r="H17" s="12">
        <f>66400.54+437.97+0.45+1149.32+200</f>
        <v>68188.28</v>
      </c>
      <c r="I17" s="12">
        <f>68339.8+397.36+2.63+1177.33-59.38</f>
        <v>69857.740000000005</v>
      </c>
      <c r="J17" s="12">
        <f>63954.44+65.33+1405.65</f>
        <v>65425.420000000006</v>
      </c>
      <c r="K17" s="12">
        <f>60766.84+2395.09+186.01+2144.94+324.26</f>
        <v>65817.14</v>
      </c>
      <c r="L17" s="12">
        <f>81105.25+99.54+1720.89</f>
        <v>82925.679999999993</v>
      </c>
      <c r="M17" s="12">
        <f>61484.05+2.64+1479.87</f>
        <v>62966.560000000005</v>
      </c>
      <c r="N17" s="12">
        <f>SUM(B17:M17)</f>
        <v>835050.83000000007</v>
      </c>
    </row>
    <row r="18" spans="1:15" ht="26.25" customHeight="1" thickBot="1" x14ac:dyDescent="0.3">
      <c r="A18" s="4" t="s">
        <v>17</v>
      </c>
      <c r="B18" s="12">
        <v>398.68</v>
      </c>
      <c r="C18" s="12">
        <v>78.37</v>
      </c>
      <c r="D18" s="12">
        <v>81.349999999999994</v>
      </c>
      <c r="E18" s="12">
        <v>496.96</v>
      </c>
      <c r="F18" s="12">
        <v>145.47</v>
      </c>
      <c r="G18" s="12">
        <v>65.53</v>
      </c>
      <c r="H18" s="12">
        <v>64.599999999999994</v>
      </c>
      <c r="I18" s="12">
        <v>49.36</v>
      </c>
      <c r="J18" s="12">
        <v>32.94</v>
      </c>
      <c r="K18" s="12">
        <v>11.93</v>
      </c>
      <c r="L18" s="12">
        <v>94.04</v>
      </c>
      <c r="M18" s="12">
        <v>5.34</v>
      </c>
      <c r="N18" s="12">
        <f t="shared" ref="N18:N24" si="14">SUM(B18:M18)</f>
        <v>1524.5699999999997</v>
      </c>
    </row>
    <row r="19" spans="1:15" ht="26.25" customHeight="1" thickBot="1" x14ac:dyDescent="0.3">
      <c r="A19" s="4" t="s">
        <v>18</v>
      </c>
      <c r="B19" s="12">
        <v>18.059999999999999</v>
      </c>
      <c r="C19" s="12">
        <v>0</v>
      </c>
      <c r="D19" s="12">
        <v>12.31</v>
      </c>
      <c r="E19" s="12">
        <v>44.98</v>
      </c>
      <c r="F19" s="12">
        <v>157.94</v>
      </c>
      <c r="G19" s="12">
        <v>52.73</v>
      </c>
      <c r="H19" s="12">
        <v>38.9</v>
      </c>
      <c r="I19" s="12">
        <v>37.43</v>
      </c>
      <c r="J19" s="12">
        <v>34.99</v>
      </c>
      <c r="K19" s="12">
        <v>16.989999999999998</v>
      </c>
      <c r="L19" s="12">
        <v>11.88</v>
      </c>
      <c r="M19" s="12">
        <v>14.97</v>
      </c>
      <c r="N19" s="12">
        <f t="shared" si="14"/>
        <v>441.18</v>
      </c>
    </row>
    <row r="20" spans="1:15" ht="26.25" customHeight="1" thickBot="1" x14ac:dyDescent="0.3">
      <c r="A20" s="4" t="s">
        <v>19</v>
      </c>
      <c r="B20" s="12">
        <v>2100.09</v>
      </c>
      <c r="C20" s="12">
        <v>4646.74</v>
      </c>
      <c r="D20" s="12">
        <v>2727.84</v>
      </c>
      <c r="E20" s="12">
        <v>4252.8900000000003</v>
      </c>
      <c r="F20" s="12">
        <v>3367.49</v>
      </c>
      <c r="G20" s="12">
        <v>7831.66</v>
      </c>
      <c r="H20" s="12">
        <v>5193.4799999999996</v>
      </c>
      <c r="I20" s="12">
        <v>4577.6099999999997</v>
      </c>
      <c r="J20" s="12">
        <v>7788.74</v>
      </c>
      <c r="K20" s="12">
        <v>3790.75</v>
      </c>
      <c r="L20" s="12">
        <v>1586.31</v>
      </c>
      <c r="M20" s="12">
        <v>5581.3</v>
      </c>
      <c r="N20" s="12">
        <f t="shared" si="14"/>
        <v>53444.9</v>
      </c>
    </row>
    <row r="21" spans="1:15" ht="26.25" customHeight="1" thickBot="1" x14ac:dyDescent="0.3">
      <c r="A21" s="4" t="s">
        <v>26</v>
      </c>
      <c r="B21" s="12">
        <v>360.07</v>
      </c>
      <c r="C21" s="12">
        <v>316.35000000000002</v>
      </c>
      <c r="D21" s="12">
        <v>322.94</v>
      </c>
      <c r="E21" s="12">
        <v>466.04</v>
      </c>
      <c r="F21" s="12">
        <v>488.86</v>
      </c>
      <c r="G21" s="12">
        <v>361.01</v>
      </c>
      <c r="H21" s="12">
        <v>346.08</v>
      </c>
      <c r="I21" s="12">
        <v>355.43</v>
      </c>
      <c r="J21" s="12">
        <v>331.41</v>
      </c>
      <c r="K21" s="12">
        <v>318.12</v>
      </c>
      <c r="L21" s="12">
        <v>423.35</v>
      </c>
      <c r="M21" s="12">
        <v>321.26</v>
      </c>
      <c r="N21" s="12">
        <f t="shared" si="14"/>
        <v>4410.92</v>
      </c>
    </row>
    <row r="22" spans="1:15" ht="26.25" customHeight="1" thickBot="1" x14ac:dyDescent="0.3">
      <c r="A22" s="4" t="s">
        <v>44</v>
      </c>
      <c r="B22" s="12">
        <v>5114.58</v>
      </c>
      <c r="C22" s="12">
        <v>3978.87</v>
      </c>
      <c r="D22" s="12">
        <v>4061.04</v>
      </c>
      <c r="E22" s="12">
        <v>5481.12</v>
      </c>
      <c r="F22" s="12">
        <v>4899.0600000000004</v>
      </c>
      <c r="G22" s="12">
        <v>4568.76</v>
      </c>
      <c r="H22" s="12">
        <v>4407.46</v>
      </c>
      <c r="I22" s="12">
        <v>4351.37</v>
      </c>
      <c r="J22" s="12">
        <v>4112.3</v>
      </c>
      <c r="K22" s="12">
        <v>5002.9399999999996</v>
      </c>
      <c r="L22" s="12">
        <v>5221.16</v>
      </c>
      <c r="M22" s="12">
        <v>3982.39</v>
      </c>
      <c r="N22" s="12">
        <f t="shared" si="14"/>
        <v>55181.05</v>
      </c>
    </row>
    <row r="23" spans="1:15" ht="26.25" hidden="1" customHeight="1" thickBot="1" x14ac:dyDescent="0.3">
      <c r="A23" s="21" t="s">
        <v>27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f t="shared" si="14"/>
        <v>0</v>
      </c>
    </row>
    <row r="24" spans="1:15" ht="26.25" customHeight="1" thickBot="1" x14ac:dyDescent="0.3">
      <c r="A24" s="4" t="s">
        <v>15</v>
      </c>
      <c r="B24" s="14">
        <v>400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400</v>
      </c>
      <c r="I24" s="14">
        <v>1400</v>
      </c>
      <c r="J24" s="14">
        <v>400</v>
      </c>
      <c r="K24" s="14">
        <v>400</v>
      </c>
      <c r="L24" s="14">
        <v>400</v>
      </c>
      <c r="M24" s="14">
        <v>400</v>
      </c>
      <c r="N24" s="12">
        <f t="shared" si="14"/>
        <v>5800</v>
      </c>
      <c r="O24" s="3"/>
    </row>
    <row r="25" spans="1:15" ht="21.75" customHeight="1" thickBot="1" x14ac:dyDescent="0.3">
      <c r="A25" s="10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19.5" customHeight="1" thickBot="1" x14ac:dyDescent="0.3">
      <c r="A26" s="4" t="s">
        <v>1</v>
      </c>
      <c r="B26" s="12">
        <f t="shared" ref="B26:K26" si="15">3533.8*0.55</f>
        <v>1943.5900000000001</v>
      </c>
      <c r="C26" s="12">
        <f t="shared" si="15"/>
        <v>1943.5900000000001</v>
      </c>
      <c r="D26" s="12">
        <f t="shared" si="15"/>
        <v>1943.5900000000001</v>
      </c>
      <c r="E26" s="12">
        <f t="shared" si="15"/>
        <v>1943.5900000000001</v>
      </c>
      <c r="F26" s="12">
        <f t="shared" si="15"/>
        <v>1943.5900000000001</v>
      </c>
      <c r="G26" s="12">
        <f t="shared" si="15"/>
        <v>1943.5900000000001</v>
      </c>
      <c r="H26" s="12">
        <f t="shared" si="15"/>
        <v>1943.5900000000001</v>
      </c>
      <c r="I26" s="12">
        <f t="shared" si="15"/>
        <v>1943.5900000000001</v>
      </c>
      <c r="J26" s="12">
        <f t="shared" si="15"/>
        <v>1943.5900000000001</v>
      </c>
      <c r="K26" s="12">
        <f t="shared" si="15"/>
        <v>1943.5900000000001</v>
      </c>
      <c r="L26" s="12">
        <f>3533.8*0.6</f>
        <v>2120.2800000000002</v>
      </c>
      <c r="M26" s="12">
        <f>3533.8*0.6</f>
        <v>2120.2800000000002</v>
      </c>
      <c r="N26" s="12">
        <f t="shared" ref="N26:N39" si="16">SUM(B26:M26)</f>
        <v>23676.46</v>
      </c>
    </row>
    <row r="27" spans="1:15" ht="22.5" customHeight="1" thickBot="1" x14ac:dyDescent="0.3">
      <c r="A27" s="4" t="s">
        <v>2</v>
      </c>
      <c r="B27" s="12">
        <f t="shared" ref="B27:M27" si="17">3533.8*0.17</f>
        <v>600.74600000000009</v>
      </c>
      <c r="C27" s="12">
        <f t="shared" si="17"/>
        <v>600.74600000000009</v>
      </c>
      <c r="D27" s="12">
        <f t="shared" si="17"/>
        <v>600.74600000000009</v>
      </c>
      <c r="E27" s="12">
        <f t="shared" si="17"/>
        <v>600.74600000000009</v>
      </c>
      <c r="F27" s="12">
        <f t="shared" si="17"/>
        <v>600.74600000000009</v>
      </c>
      <c r="G27" s="12">
        <f t="shared" si="17"/>
        <v>600.74600000000009</v>
      </c>
      <c r="H27" s="12">
        <f t="shared" si="17"/>
        <v>600.74600000000009</v>
      </c>
      <c r="I27" s="12">
        <f t="shared" si="17"/>
        <v>600.74600000000009</v>
      </c>
      <c r="J27" s="12">
        <f t="shared" si="17"/>
        <v>600.74600000000009</v>
      </c>
      <c r="K27" s="12">
        <f t="shared" si="17"/>
        <v>600.74600000000009</v>
      </c>
      <c r="L27" s="12">
        <f t="shared" si="17"/>
        <v>600.74600000000009</v>
      </c>
      <c r="M27" s="12">
        <f t="shared" si="17"/>
        <v>600.74600000000009</v>
      </c>
      <c r="N27" s="12">
        <f t="shared" si="16"/>
        <v>7208.9520000000011</v>
      </c>
    </row>
    <row r="28" spans="1:15" ht="21" customHeight="1" thickBot="1" x14ac:dyDescent="0.3">
      <c r="A28" s="4" t="s">
        <v>3</v>
      </c>
      <c r="B28" s="12">
        <f>76560.28*2.3%</f>
        <v>1760.88644</v>
      </c>
      <c r="C28" s="12">
        <f>76457.12*2.3%</f>
        <v>1758.5137599999998</v>
      </c>
      <c r="D28" s="12">
        <f>77492.86*2.3%</f>
        <v>1782.3357799999999</v>
      </c>
      <c r="E28" s="12">
        <f>76743.59*2.3%</f>
        <v>1765.1025699999998</v>
      </c>
      <c r="F28" s="12">
        <f>80792.47*2.3%</f>
        <v>1858.2268099999999</v>
      </c>
      <c r="G28" s="12">
        <f>77386.05*2.3%</f>
        <v>1779.87915</v>
      </c>
      <c r="H28" s="12">
        <f>76386.91*2.3%</f>
        <v>1756.8989300000001</v>
      </c>
      <c r="I28" s="12">
        <f>80551.59*2.3%</f>
        <v>1852.6865699999998</v>
      </c>
      <c r="J28" s="12">
        <f>75937.05*2.3%</f>
        <v>1746.55215</v>
      </c>
      <c r="K28" s="12">
        <f>71952.29*2.3%</f>
        <v>1654.9026699999997</v>
      </c>
      <c r="L28" s="12">
        <f>78129.92*2.3%</f>
        <v>1796.9881599999999</v>
      </c>
      <c r="M28" s="12">
        <f>72061.46*2.3%</f>
        <v>1657.4135800000001</v>
      </c>
      <c r="N28" s="12">
        <f t="shared" si="16"/>
        <v>21170.386569999999</v>
      </c>
    </row>
    <row r="29" spans="1:15" ht="23.25" customHeight="1" thickBot="1" x14ac:dyDescent="0.3">
      <c r="A29" s="4" t="s">
        <v>4</v>
      </c>
      <c r="B29" s="12">
        <f>80797.55*3%</f>
        <v>2423.9265</v>
      </c>
      <c r="C29" s="12">
        <f>72812.37*3%</f>
        <v>2184.3710999999998</v>
      </c>
      <c r="D29" s="12">
        <f>70827.59*3%</f>
        <v>2124.8276999999998</v>
      </c>
      <c r="E29" s="12">
        <f>100880.15*3%</f>
        <v>3026.4044999999996</v>
      </c>
      <c r="F29" s="12">
        <f>71564.91*3%</f>
        <v>2146.9472999999998</v>
      </c>
      <c r="G29" s="12">
        <f>79885.23*3%</f>
        <v>2396.5568999999996</v>
      </c>
      <c r="H29" s="12">
        <f>78238.8*3%</f>
        <v>2347.1640000000002</v>
      </c>
      <c r="I29" s="12">
        <f>79228.94*3%</f>
        <v>2376.8681999999999</v>
      </c>
      <c r="J29" s="12">
        <f>77725.8*3%</f>
        <v>2331.7739999999999</v>
      </c>
      <c r="K29" s="12">
        <f>74957.87*3%</f>
        <v>2248.7360999999996</v>
      </c>
      <c r="L29" s="12">
        <f>90262.42*3%</f>
        <v>2707.8725999999997</v>
      </c>
      <c r="M29" s="12">
        <f>72871.82*3%</f>
        <v>2186.1546000000003</v>
      </c>
      <c r="N29" s="12">
        <f t="shared" si="16"/>
        <v>28501.603500000001</v>
      </c>
    </row>
    <row r="30" spans="1:15" ht="23.25" customHeight="1" thickBot="1" x14ac:dyDescent="0.3">
      <c r="A30" s="4" t="s">
        <v>9</v>
      </c>
      <c r="B30" s="22">
        <f t="shared" ref="B30:G30" si="18">3533.8*8.5</f>
        <v>30037.300000000003</v>
      </c>
      <c r="C30" s="22">
        <f t="shared" si="18"/>
        <v>30037.300000000003</v>
      </c>
      <c r="D30" s="22">
        <f t="shared" si="18"/>
        <v>30037.300000000003</v>
      </c>
      <c r="E30" s="22">
        <f t="shared" si="18"/>
        <v>30037.300000000003</v>
      </c>
      <c r="F30" s="22">
        <f t="shared" si="18"/>
        <v>30037.300000000003</v>
      </c>
      <c r="G30" s="22">
        <f t="shared" si="18"/>
        <v>30037.300000000003</v>
      </c>
      <c r="H30" s="22">
        <f>3533.8*9.7</f>
        <v>34277.86</v>
      </c>
      <c r="I30" s="22">
        <f t="shared" ref="I30:M30" si="19">3533.8*9.7</f>
        <v>34277.86</v>
      </c>
      <c r="J30" s="22">
        <f t="shared" si="19"/>
        <v>34277.86</v>
      </c>
      <c r="K30" s="22">
        <f t="shared" si="19"/>
        <v>34277.86</v>
      </c>
      <c r="L30" s="22">
        <f t="shared" si="19"/>
        <v>34277.86</v>
      </c>
      <c r="M30" s="22">
        <f t="shared" si="19"/>
        <v>34277.86</v>
      </c>
      <c r="N30" s="12">
        <f t="shared" si="16"/>
        <v>385890.9599999999</v>
      </c>
    </row>
    <row r="31" spans="1:15" ht="26.25" customHeight="1" thickBot="1" x14ac:dyDescent="0.3">
      <c r="A31" s="4" t="s">
        <v>20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0.2</v>
      </c>
      <c r="K31" s="12">
        <v>0</v>
      </c>
      <c r="L31" s="12">
        <v>0</v>
      </c>
      <c r="M31" s="12">
        <v>0</v>
      </c>
      <c r="N31" s="12">
        <f t="shared" si="16"/>
        <v>0.2</v>
      </c>
    </row>
    <row r="32" spans="1:15" ht="26.25" customHeight="1" thickBot="1" x14ac:dyDescent="0.3">
      <c r="A32" s="4" t="s">
        <v>21</v>
      </c>
      <c r="B32" s="12">
        <v>1818.64</v>
      </c>
      <c r="C32" s="12">
        <v>2751.13</v>
      </c>
      <c r="D32" s="12">
        <v>2753.34</v>
      </c>
      <c r="E32" s="12">
        <v>249.79</v>
      </c>
      <c r="F32" s="12">
        <v>249.79</v>
      </c>
      <c r="G32" s="12">
        <v>249.79</v>
      </c>
      <c r="H32" s="12">
        <v>259.27999999999997</v>
      </c>
      <c r="I32" s="12">
        <v>259.27999999999997</v>
      </c>
      <c r="J32" s="12">
        <v>259.27999999999997</v>
      </c>
      <c r="K32" s="12">
        <v>259.27999999999997</v>
      </c>
      <c r="L32" s="12">
        <v>259.27999999999997</v>
      </c>
      <c r="M32" s="12">
        <v>351.08</v>
      </c>
      <c r="N32" s="12">
        <f t="shared" si="16"/>
        <v>9719.9600000000028</v>
      </c>
    </row>
    <row r="33" spans="1:14" ht="26.25" customHeight="1" thickBot="1" x14ac:dyDescent="0.3">
      <c r="A33" s="4" t="s">
        <v>22</v>
      </c>
      <c r="B33" s="12">
        <v>2718</v>
      </c>
      <c r="C33" s="12">
        <v>2821.5</v>
      </c>
      <c r="D33" s="12">
        <v>2070</v>
      </c>
      <c r="E33" s="12">
        <v>8622</v>
      </c>
      <c r="F33" s="12">
        <v>5215.5</v>
      </c>
      <c r="G33" s="12">
        <v>4216.5</v>
      </c>
      <c r="H33" s="12">
        <v>8512.92</v>
      </c>
      <c r="I33" s="12">
        <v>3898.44</v>
      </c>
      <c r="J33" s="12">
        <v>0</v>
      </c>
      <c r="K33" s="12">
        <v>6177.6</v>
      </c>
      <c r="L33" s="12">
        <v>0</v>
      </c>
      <c r="M33" s="12">
        <v>0</v>
      </c>
      <c r="N33" s="12">
        <f t="shared" si="16"/>
        <v>44252.46</v>
      </c>
    </row>
    <row r="34" spans="1:14" ht="26.25" customHeight="1" thickBot="1" x14ac:dyDescent="0.3">
      <c r="A34" s="4" t="s">
        <v>26</v>
      </c>
      <c r="B34" s="12">
        <v>342.49</v>
      </c>
      <c r="C34" s="12">
        <v>342.49</v>
      </c>
      <c r="D34" s="12">
        <v>342.49</v>
      </c>
      <c r="E34" s="12">
        <v>342.49</v>
      </c>
      <c r="F34" s="12">
        <v>342.49</v>
      </c>
      <c r="G34" s="12">
        <v>342.49</v>
      </c>
      <c r="H34" s="12">
        <v>342.49</v>
      </c>
      <c r="I34" s="12">
        <v>342.49</v>
      </c>
      <c r="J34" s="12">
        <v>342.49</v>
      </c>
      <c r="K34" s="12">
        <v>342.49</v>
      </c>
      <c r="L34" s="12">
        <v>342.49</v>
      </c>
      <c r="M34" s="12">
        <v>451.63</v>
      </c>
      <c r="N34" s="12">
        <f t="shared" si="16"/>
        <v>4219.0199999999995</v>
      </c>
    </row>
    <row r="35" spans="1:14" ht="22.5" customHeight="1" thickBot="1" x14ac:dyDescent="0.3">
      <c r="A35" s="4" t="s">
        <v>6</v>
      </c>
      <c r="B35" s="22">
        <f t="shared" ref="B35:M35" si="20">3533.8*2.79</f>
        <v>9859.3020000000015</v>
      </c>
      <c r="C35" s="22">
        <f t="shared" si="20"/>
        <v>9859.3020000000015</v>
      </c>
      <c r="D35" s="22">
        <f t="shared" si="20"/>
        <v>9859.3020000000015</v>
      </c>
      <c r="E35" s="22">
        <f t="shared" si="20"/>
        <v>9859.3020000000015</v>
      </c>
      <c r="F35" s="22">
        <f t="shared" si="20"/>
        <v>9859.3020000000015</v>
      </c>
      <c r="G35" s="22">
        <f t="shared" si="20"/>
        <v>9859.3020000000015</v>
      </c>
      <c r="H35" s="22">
        <f t="shared" si="20"/>
        <v>9859.3020000000015</v>
      </c>
      <c r="I35" s="22">
        <f t="shared" si="20"/>
        <v>9859.3020000000015</v>
      </c>
      <c r="J35" s="22">
        <f t="shared" si="20"/>
        <v>9859.3020000000015</v>
      </c>
      <c r="K35" s="22">
        <f t="shared" si="20"/>
        <v>9859.3020000000015</v>
      </c>
      <c r="L35" s="22">
        <f t="shared" si="20"/>
        <v>9859.3020000000015</v>
      </c>
      <c r="M35" s="22">
        <f t="shared" si="20"/>
        <v>9859.3020000000015</v>
      </c>
      <c r="N35" s="12">
        <f t="shared" si="16"/>
        <v>118311.624</v>
      </c>
    </row>
    <row r="36" spans="1:14" ht="21.75" customHeight="1" thickBot="1" x14ac:dyDescent="0.3">
      <c r="A36" s="4" t="s">
        <v>44</v>
      </c>
      <c r="B36" s="12">
        <v>4795</v>
      </c>
      <c r="C36" s="12">
        <v>5000</v>
      </c>
      <c r="D36" s="12">
        <v>2465</v>
      </c>
      <c r="E36" s="12">
        <v>6320</v>
      </c>
      <c r="F36" s="12">
        <v>3685</v>
      </c>
      <c r="G36" s="12">
        <v>5025</v>
      </c>
      <c r="H36" s="12">
        <v>4480</v>
      </c>
      <c r="I36" s="12">
        <v>4020</v>
      </c>
      <c r="J36" s="12">
        <v>3985</v>
      </c>
      <c r="K36" s="12">
        <v>3650</v>
      </c>
      <c r="L36" s="12">
        <v>4735</v>
      </c>
      <c r="M36" s="12">
        <v>5080</v>
      </c>
      <c r="N36" s="12">
        <f t="shared" si="16"/>
        <v>53240</v>
      </c>
    </row>
    <row r="37" spans="1:14" ht="24.75" customHeight="1" thickBot="1" x14ac:dyDescent="0.3">
      <c r="A37" s="4" t="s">
        <v>25</v>
      </c>
      <c r="B37" s="12">
        <f>1140+420</f>
        <v>1560</v>
      </c>
      <c r="C37" s="12">
        <f>1140+420</f>
        <v>1560</v>
      </c>
      <c r="D37" s="12">
        <f>1140+420</f>
        <v>1560</v>
      </c>
      <c r="E37" s="12">
        <f>1140+420</f>
        <v>1560</v>
      </c>
      <c r="F37" s="12">
        <f>1140</f>
        <v>1140</v>
      </c>
      <c r="G37" s="12">
        <v>900</v>
      </c>
      <c r="H37" s="12">
        <v>900</v>
      </c>
      <c r="I37" s="12">
        <v>900</v>
      </c>
      <c r="J37" s="12">
        <v>900</v>
      </c>
      <c r="K37" s="12">
        <f>900</f>
        <v>900</v>
      </c>
      <c r="L37" s="12">
        <f>900</f>
        <v>900</v>
      </c>
      <c r="M37" s="12">
        <f>900</f>
        <v>900</v>
      </c>
      <c r="N37" s="12">
        <f t="shared" si="16"/>
        <v>13680</v>
      </c>
    </row>
    <row r="38" spans="1:14" ht="24.75" customHeight="1" thickBot="1" x14ac:dyDescent="0.3">
      <c r="A38" s="4" t="s">
        <v>14</v>
      </c>
      <c r="B38" s="12">
        <v>0</v>
      </c>
      <c r="C38" s="12">
        <v>0</v>
      </c>
      <c r="D38" s="12">
        <v>0</v>
      </c>
      <c r="E38" s="12">
        <v>0</v>
      </c>
      <c r="F38" s="12">
        <v>15256.08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f t="shared" si="16"/>
        <v>15256.08</v>
      </c>
    </row>
    <row r="39" spans="1:14" ht="24" customHeight="1" thickBot="1" x14ac:dyDescent="0.3">
      <c r="A39" s="4" t="s">
        <v>10</v>
      </c>
      <c r="B39" s="12">
        <v>0</v>
      </c>
      <c r="C39" s="12">
        <v>0</v>
      </c>
      <c r="D39" s="12">
        <v>0</v>
      </c>
      <c r="E39" s="12">
        <f>11304.4+1003.4+1130.4</f>
        <v>13438.199999999999</v>
      </c>
      <c r="F39" s="12">
        <f>1684.4</f>
        <v>1684.4</v>
      </c>
      <c r="G39" s="12">
        <v>0</v>
      </c>
      <c r="H39" s="12">
        <f>75</f>
        <v>75</v>
      </c>
      <c r="I39" s="12">
        <f>455+11059.8</f>
        <v>11514.8</v>
      </c>
      <c r="J39" s="12">
        <f>510</f>
        <v>510</v>
      </c>
      <c r="K39" s="12">
        <f>1538.8+3000+1500</f>
        <v>6038.8</v>
      </c>
      <c r="L39" s="12">
        <f>1474.5+1864.6+2298.9</f>
        <v>5638</v>
      </c>
      <c r="M39" s="12">
        <f>862.7+105+23800+9409.2+77185</f>
        <v>111361.9</v>
      </c>
      <c r="N39" s="12">
        <f t="shared" si="16"/>
        <v>150261.09999999998</v>
      </c>
    </row>
    <row r="40" spans="1:14" ht="22.5" customHeight="1" thickBot="1" x14ac:dyDescent="0.3">
      <c r="A40" s="8" t="s">
        <v>23</v>
      </c>
      <c r="B40" s="11">
        <f t="shared" ref="B40:M40" si="21">SUM(B26:B39)</f>
        <v>57859.880940000003</v>
      </c>
      <c r="C40" s="11">
        <f t="shared" si="21"/>
        <v>58858.942860000003</v>
      </c>
      <c r="D40" s="11">
        <f t="shared" si="21"/>
        <v>55538.931479999999</v>
      </c>
      <c r="E40" s="11">
        <f t="shared" si="21"/>
        <v>77764.925070000012</v>
      </c>
      <c r="F40" s="11">
        <f t="shared" si="21"/>
        <v>74019.372109999997</v>
      </c>
      <c r="G40" s="11">
        <f t="shared" si="21"/>
        <v>57351.154050000005</v>
      </c>
      <c r="H40" s="11">
        <f t="shared" si="21"/>
        <v>65355.250930000002</v>
      </c>
      <c r="I40" s="11">
        <f t="shared" si="21"/>
        <v>71846.062770000004</v>
      </c>
      <c r="J40" s="11">
        <f t="shared" si="21"/>
        <v>56756.794150000002</v>
      </c>
      <c r="K40" s="11">
        <f t="shared" si="21"/>
        <v>67953.306769999996</v>
      </c>
      <c r="L40" s="11">
        <f t="shared" si="21"/>
        <v>63237.818760000002</v>
      </c>
      <c r="M40" s="11">
        <f t="shared" si="21"/>
        <v>168846.36618000001</v>
      </c>
      <c r="N40" s="11">
        <f>SUM(B40:M40)</f>
        <v>875388.80607000017</v>
      </c>
    </row>
    <row r="41" spans="1:14" ht="23.25" customHeight="1" thickBot="1" x14ac:dyDescent="0.3">
      <c r="A41" s="4" t="s">
        <v>5</v>
      </c>
      <c r="B41" s="17">
        <f t="shared" ref="B41:N41" si="22">B16-B40</f>
        <v>23337.669059999986</v>
      </c>
      <c r="C41" s="17">
        <f t="shared" si="22"/>
        <v>14353.427140000007</v>
      </c>
      <c r="D41" s="17">
        <f t="shared" si="22"/>
        <v>15688.658519999997</v>
      </c>
      <c r="E41" s="17">
        <f t="shared" si="22"/>
        <v>23515.224929999982</v>
      </c>
      <c r="F41" s="17">
        <f t="shared" si="22"/>
        <v>-2054.4621099999931</v>
      </c>
      <c r="G41" s="17">
        <f t="shared" si="22"/>
        <v>22934.075949999977</v>
      </c>
      <c r="H41" s="17">
        <f t="shared" si="22"/>
        <v>13283.549070000001</v>
      </c>
      <c r="I41" s="17">
        <f t="shared" si="22"/>
        <v>8782.8772299999837</v>
      </c>
      <c r="J41" s="17">
        <f t="shared" si="22"/>
        <v>21369.005850000016</v>
      </c>
      <c r="K41" s="17">
        <f t="shared" si="22"/>
        <v>7404.5632299999997</v>
      </c>
      <c r="L41" s="17">
        <f t="shared" si="22"/>
        <v>27424.601239999996</v>
      </c>
      <c r="M41" s="17">
        <f t="shared" si="22"/>
        <v>-95574.546180000019</v>
      </c>
      <c r="N41" s="12">
        <f t="shared" si="22"/>
        <v>80464.643929999787</v>
      </c>
    </row>
    <row r="42" spans="1:14" ht="23.25" customHeight="1" thickBot="1" x14ac:dyDescent="0.3">
      <c r="A42" s="4" t="s">
        <v>7</v>
      </c>
      <c r="B42" s="14">
        <f>B5+B41</f>
        <v>-516791.85094000003</v>
      </c>
      <c r="C42" s="18">
        <f>B42+C41</f>
        <v>-502438.42380000005</v>
      </c>
      <c r="D42" s="18">
        <f>C42+D41</f>
        <v>-486749.76528000005</v>
      </c>
      <c r="E42" s="18">
        <f t="shared" ref="E42:G42" si="23">D42+E41</f>
        <v>-463234.54035000008</v>
      </c>
      <c r="F42" s="18">
        <f t="shared" si="23"/>
        <v>-465289.00246000011</v>
      </c>
      <c r="G42" s="18">
        <f t="shared" si="23"/>
        <v>-442354.92651000014</v>
      </c>
      <c r="H42" s="18">
        <f t="shared" ref="H42" si="24">G42+H41</f>
        <v>-429071.37744000013</v>
      </c>
      <c r="I42" s="18">
        <f t="shared" ref="I42" si="25">H42+I41</f>
        <v>-420288.50021000014</v>
      </c>
      <c r="J42" s="18">
        <f t="shared" ref="J42" si="26">I42+J41</f>
        <v>-398919.49436000013</v>
      </c>
      <c r="K42" s="18">
        <f t="shared" ref="K42" si="27">J42+K41</f>
        <v>-391514.93113000016</v>
      </c>
      <c r="L42" s="18">
        <f t="shared" ref="L42" si="28">K42+L41</f>
        <v>-364090.32989000017</v>
      </c>
      <c r="M42" s="18">
        <f t="shared" ref="M42" si="29">L42+M41</f>
        <v>-459664.87607000017</v>
      </c>
      <c r="N42" s="18">
        <f>N5-N40+N16</f>
        <v>-459664.87607000023</v>
      </c>
    </row>
    <row r="43" spans="1:14" ht="27" customHeight="1" thickBot="1" x14ac:dyDescent="0.3">
      <c r="A43" s="10" t="s">
        <v>11</v>
      </c>
      <c r="B43" s="19">
        <f t="shared" ref="B43:N43" si="30">B6+B16-B7</f>
        <v>-178111.24000000002</v>
      </c>
      <c r="C43" s="19">
        <f t="shared" si="30"/>
        <v>-181955.99</v>
      </c>
      <c r="D43" s="19">
        <f t="shared" si="30"/>
        <v>-188821.25999999998</v>
      </c>
      <c r="E43" s="19">
        <f t="shared" si="30"/>
        <v>-164884.69999999998</v>
      </c>
      <c r="F43" s="19">
        <f t="shared" si="30"/>
        <v>-174312.25999999998</v>
      </c>
      <c r="G43" s="19">
        <f t="shared" si="30"/>
        <v>-172013.08000000002</v>
      </c>
      <c r="H43" s="19">
        <f t="shared" si="30"/>
        <v>-170361.19</v>
      </c>
      <c r="I43" s="19">
        <f t="shared" si="30"/>
        <v>-171883.84000000003</v>
      </c>
      <c r="J43" s="19">
        <f t="shared" si="30"/>
        <v>-170295.09</v>
      </c>
      <c r="K43" s="19">
        <f t="shared" si="30"/>
        <v>-167489.51</v>
      </c>
      <c r="L43" s="19">
        <f t="shared" si="30"/>
        <v>-155557.01</v>
      </c>
      <c r="M43" s="19">
        <f t="shared" si="30"/>
        <v>-154946.65000000002</v>
      </c>
      <c r="N43" s="19">
        <f t="shared" si="30"/>
        <v>-154946.65000000002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2023-03-20T02:50:30Z</cp:lastPrinted>
  <dcterms:created xsi:type="dcterms:W3CDTF">2011-06-06T03:25:48Z</dcterms:created>
  <dcterms:modified xsi:type="dcterms:W3CDTF">2023-03-20T09:40:11Z</dcterms:modified>
</cp:coreProperties>
</file>