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13" i="1" l="1"/>
  <c r="M12" i="1"/>
  <c r="M11" i="1"/>
  <c r="M14" i="1"/>
  <c r="L23" i="1"/>
  <c r="L22" i="1"/>
  <c r="L24" i="1"/>
  <c r="L13" i="1"/>
  <c r="L12" i="1"/>
  <c r="L11" i="1"/>
  <c r="L14" i="1"/>
  <c r="K23" i="1"/>
  <c r="K22" i="1"/>
  <c r="K24" i="1"/>
  <c r="K13" i="1"/>
  <c r="K12" i="1"/>
  <c r="K11" i="1"/>
  <c r="K14" i="1"/>
  <c r="M39" i="1" l="1"/>
  <c r="L39" i="1" l="1"/>
  <c r="K39" i="1" l="1"/>
  <c r="L41" i="1" l="1"/>
  <c r="M31" i="1" l="1"/>
  <c r="M18" i="1"/>
  <c r="M30" i="1"/>
  <c r="M8" i="1"/>
  <c r="K41" i="1" l="1"/>
  <c r="L31" i="1" l="1"/>
  <c r="L18" i="1"/>
  <c r="L30" i="1"/>
  <c r="L8" i="1"/>
  <c r="K31" i="1" l="1"/>
  <c r="K18" i="1"/>
  <c r="K30" i="1"/>
  <c r="K8" i="1"/>
  <c r="K37" i="1" l="1"/>
  <c r="L37" i="1"/>
  <c r="M37" i="1"/>
  <c r="K32" i="1"/>
  <c r="L32" i="1"/>
  <c r="M32" i="1"/>
  <c r="K29" i="1"/>
  <c r="L29" i="1"/>
  <c r="M29" i="1"/>
  <c r="M28" i="1"/>
  <c r="L28" i="1"/>
  <c r="K28" i="1"/>
  <c r="J23" i="1" l="1"/>
  <c r="J22" i="1"/>
  <c r="J21" i="1"/>
  <c r="J24" i="1"/>
  <c r="J13" i="1"/>
  <c r="J12" i="1"/>
  <c r="J11" i="1"/>
  <c r="J14" i="1"/>
  <c r="I23" i="1"/>
  <c r="I21" i="1"/>
  <c r="I24" i="1"/>
  <c r="I13" i="1"/>
  <c r="I12" i="1"/>
  <c r="I11" i="1"/>
  <c r="I14" i="1"/>
  <c r="H23" i="1"/>
  <c r="H21" i="1"/>
  <c r="H24" i="1"/>
  <c r="H13" i="1"/>
  <c r="H11" i="1"/>
  <c r="H14" i="1"/>
  <c r="I41" i="1" l="1"/>
  <c r="I32" i="1" l="1"/>
  <c r="J32" i="1"/>
  <c r="H32" i="1"/>
  <c r="J31" i="1" l="1"/>
  <c r="J18" i="1"/>
  <c r="H37" i="1"/>
  <c r="I37" i="1"/>
  <c r="J37" i="1"/>
  <c r="H29" i="1"/>
  <c r="I29" i="1"/>
  <c r="J29" i="1"/>
  <c r="H28" i="1"/>
  <c r="I28" i="1"/>
  <c r="J28" i="1"/>
  <c r="C29" i="1"/>
  <c r="D29" i="1"/>
  <c r="E29" i="1"/>
  <c r="F29" i="1"/>
  <c r="G29" i="1"/>
  <c r="B29" i="1"/>
  <c r="C28" i="1"/>
  <c r="D28" i="1"/>
  <c r="E28" i="1"/>
  <c r="F28" i="1"/>
  <c r="G28" i="1"/>
  <c r="B28" i="1"/>
  <c r="G32" i="1"/>
  <c r="J30" i="1"/>
  <c r="J8" i="1"/>
  <c r="G30" i="1" l="1"/>
  <c r="G11" i="1"/>
  <c r="I31" i="1" l="1"/>
  <c r="I18" i="1"/>
  <c r="I30" i="1"/>
  <c r="I8" i="1"/>
  <c r="H31" i="1" l="1"/>
  <c r="H18" i="1"/>
  <c r="H30" i="1"/>
  <c r="H8" i="1"/>
  <c r="G23" i="1" l="1"/>
  <c r="G24" i="1"/>
  <c r="G13" i="1"/>
  <c r="G14" i="1"/>
  <c r="F23" i="1"/>
  <c r="F22" i="1"/>
  <c r="F21" i="1"/>
  <c r="F24" i="1"/>
  <c r="F13" i="1"/>
  <c r="F11" i="1"/>
  <c r="F14" i="1"/>
  <c r="E23" i="1"/>
  <c r="E22" i="1"/>
  <c r="E21" i="1"/>
  <c r="E24" i="1"/>
  <c r="E13" i="1"/>
  <c r="E12" i="1"/>
  <c r="E11" i="1"/>
  <c r="E14" i="1"/>
  <c r="G41" i="1" l="1"/>
  <c r="F39" i="1" l="1"/>
  <c r="E39" i="1" l="1"/>
  <c r="F41" i="1" l="1"/>
  <c r="G31" i="1" l="1"/>
  <c r="G18" i="1"/>
  <c r="G8" i="1"/>
  <c r="F31" i="1" l="1"/>
  <c r="F18" i="1"/>
  <c r="F30" i="1"/>
  <c r="F8" i="1"/>
  <c r="E41" i="1" l="1"/>
  <c r="E31" i="1" l="1"/>
  <c r="E18" i="1"/>
  <c r="E30" i="1"/>
  <c r="E8" i="1"/>
  <c r="E37" i="1" l="1"/>
  <c r="F37" i="1"/>
  <c r="G37" i="1"/>
  <c r="E32" i="1"/>
  <c r="F32" i="1"/>
  <c r="D23" i="1" l="1"/>
  <c r="D22" i="1"/>
  <c r="D21" i="1"/>
  <c r="D24" i="1"/>
  <c r="D13" i="1"/>
  <c r="D12" i="1"/>
  <c r="D11" i="1"/>
  <c r="D14" i="1"/>
  <c r="C23" i="1"/>
  <c r="C22" i="1"/>
  <c r="C21" i="1"/>
  <c r="C24" i="1"/>
  <c r="C13" i="1"/>
  <c r="C12" i="1"/>
  <c r="C11" i="1"/>
  <c r="C14" i="1"/>
  <c r="B23" i="1"/>
  <c r="B21" i="1"/>
  <c r="B24" i="1"/>
  <c r="B13" i="1"/>
  <c r="B12" i="1"/>
  <c r="B11" i="1"/>
  <c r="B14" i="1"/>
  <c r="D41" i="1" l="1"/>
  <c r="D39" i="1" l="1"/>
  <c r="C39" i="1" l="1"/>
  <c r="B39" i="1" l="1"/>
  <c r="D31" i="1" l="1"/>
  <c r="D18" i="1"/>
  <c r="D30" i="1"/>
  <c r="D8" i="1"/>
  <c r="B41" i="1" l="1"/>
  <c r="C31" i="1" l="1"/>
  <c r="C18" i="1"/>
  <c r="C30" i="1" l="1"/>
  <c r="C8" i="1"/>
  <c r="B31" i="1" l="1"/>
  <c r="B18" i="1"/>
  <c r="B30" i="1"/>
  <c r="B8" i="1"/>
  <c r="C37" i="1" l="1"/>
  <c r="D37" i="1"/>
  <c r="C32" i="1"/>
  <c r="D32" i="1"/>
  <c r="B37" i="1"/>
  <c r="B32" i="1"/>
  <c r="N19" i="1" l="1"/>
  <c r="N9" i="1"/>
  <c r="N8" i="1" l="1"/>
  <c r="N10" i="1"/>
  <c r="N11" i="1"/>
  <c r="N12" i="1"/>
  <c r="N13" i="1"/>
  <c r="N14" i="1"/>
  <c r="N15" i="1"/>
  <c r="N16" i="1"/>
  <c r="N32" i="1" l="1"/>
  <c r="N25" i="1"/>
  <c r="N18" i="1" l="1"/>
  <c r="N6" i="1" l="1"/>
  <c r="N5" i="1"/>
  <c r="N26" i="1" l="1"/>
  <c r="N28" i="1"/>
  <c r="N29" i="1"/>
  <c r="N33" i="1"/>
  <c r="N34" i="1"/>
  <c r="N35" i="1"/>
  <c r="N36" i="1"/>
  <c r="N37" i="1"/>
  <c r="N38" i="1"/>
  <c r="N39" i="1"/>
  <c r="N40" i="1"/>
  <c r="N41" i="1"/>
  <c r="N20" i="1"/>
  <c r="N21" i="1"/>
  <c r="N22" i="1"/>
  <c r="N23" i="1"/>
  <c r="N24" i="1"/>
  <c r="K17" i="1"/>
  <c r="L17" i="1"/>
  <c r="M17" i="1"/>
  <c r="K7" i="1"/>
  <c r="L7" i="1"/>
  <c r="M7" i="1"/>
  <c r="M42" i="1" l="1"/>
  <c r="M43" i="1" s="1"/>
  <c r="L42" i="1"/>
  <c r="L43" i="1" s="1"/>
  <c r="N31" i="1"/>
  <c r="K42" i="1" l="1"/>
  <c r="K43" i="1" l="1"/>
  <c r="H17" i="1" l="1"/>
  <c r="I17" i="1"/>
  <c r="J17" i="1"/>
  <c r="H7" i="1"/>
  <c r="J7" i="1"/>
  <c r="J42" i="1" l="1"/>
  <c r="J43" i="1" s="1"/>
  <c r="I42" i="1"/>
  <c r="I43" i="1" s="1"/>
  <c r="I7" i="1"/>
  <c r="C17" i="1"/>
  <c r="D17" i="1"/>
  <c r="D42" i="1" s="1"/>
  <c r="D43" i="1" s="1"/>
  <c r="E17" i="1"/>
  <c r="F17" i="1"/>
  <c r="G17" i="1"/>
  <c r="B17" i="1"/>
  <c r="F42" i="1" l="1"/>
  <c r="F43" i="1" s="1"/>
  <c r="E42" i="1"/>
  <c r="G42" i="1"/>
  <c r="G43" i="1" s="1"/>
  <c r="N17" i="1"/>
  <c r="H42" i="1"/>
  <c r="H43" i="1" l="1"/>
  <c r="F7" i="1"/>
  <c r="G7" i="1"/>
  <c r="D7" i="1"/>
  <c r="C42" i="1"/>
  <c r="C7" i="1"/>
  <c r="B7" i="1"/>
  <c r="E7" i="1" l="1"/>
  <c r="N7" i="1" s="1"/>
  <c r="N45" i="1" s="1"/>
  <c r="C43" i="1"/>
  <c r="B42" i="1" l="1"/>
  <c r="N30" i="1"/>
  <c r="B45" i="1"/>
  <c r="C6" i="1" s="1"/>
  <c r="C45" i="1" l="1"/>
  <c r="D6" i="1" s="1"/>
  <c r="E43" i="1"/>
  <c r="N42" i="1" s="1"/>
  <c r="B43" i="1"/>
  <c r="D45" i="1" l="1"/>
  <c r="E6" i="1" s="1"/>
  <c r="E45" i="1" s="1"/>
  <c r="F6" i="1" s="1"/>
  <c r="N43" i="1"/>
  <c r="N44" i="1" s="1"/>
  <c r="B44" i="1"/>
  <c r="F45" i="1" l="1"/>
  <c r="G6" i="1" s="1"/>
  <c r="G45" i="1" s="1"/>
  <c r="H6" i="1" s="1"/>
  <c r="C5" i="1"/>
  <c r="C44" i="1" s="1"/>
  <c r="H45" i="1" l="1"/>
  <c r="I6" i="1" s="1"/>
  <c r="D5" i="1"/>
  <c r="D44" i="1" s="1"/>
  <c r="I45" i="1" l="1"/>
  <c r="J6" i="1" s="1"/>
  <c r="E5" i="1"/>
  <c r="E44" i="1" s="1"/>
  <c r="J45" i="1" l="1"/>
  <c r="K6" i="1" s="1"/>
  <c r="F5" i="1"/>
  <c r="F44" i="1" s="1"/>
  <c r="K45" i="1" l="1"/>
  <c r="L6" i="1" s="1"/>
  <c r="G5" i="1"/>
  <c r="G44" i="1" s="1"/>
  <c r="L45" i="1" l="1"/>
  <c r="M6" i="1" s="1"/>
  <c r="M45" i="1" s="1"/>
  <c r="H5" i="1"/>
  <c r="H44" i="1" s="1"/>
  <c r="I5" i="1" l="1"/>
  <c r="I44" i="1" s="1"/>
  <c r="J5" i="1" l="1"/>
  <c r="J44" i="1" s="1"/>
  <c r="K5" i="1" l="1"/>
  <c r="K44" i="1" s="1"/>
  <c r="L5" i="1" l="1"/>
  <c r="L44" i="1" s="1"/>
  <c r="M5" i="1" l="1"/>
  <c r="M44" i="1" s="1"/>
</calcChain>
</file>

<file path=xl/sharedStrings.xml><?xml version="1.0" encoding="utf-8"?>
<sst xmlns="http://schemas.openxmlformats.org/spreadsheetml/2006/main" count="58" uniqueCount="47">
  <si>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</si>
  <si>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</si>
  <si>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</si>
  <si>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</si>
  <si>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</si>
  <si>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</si>
  <si>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</si>
  <si>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</si>
  <si>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</si>
  <si>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</si>
  <si>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</si>
  <si>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</si>
  <si>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</si>
  <si>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</si>
  <si>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</si>
  <si>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</si>
  <si>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</si>
  <si>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</si>
  <si>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</si>
  <si>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</si>
  <si>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</si>
  <si>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</si>
  <si>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</si>
  <si>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</si>
  <si>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</si>
  <si>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</si>
  <si>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на ОИ</t>
  </si>
  <si>
    <t xml:space="preserve">Содержание жилья и текущий ремонт / нежилые </t>
  </si>
  <si>
    <t>Диагностика газового оборудования</t>
  </si>
  <si>
    <t>Корректировка задолженности по оплате по решению Арбитражного суда за предыдущие периоды</t>
  </si>
  <si>
    <t xml:space="preserve">Содержание жилья и текущий ремонт,  ОПУ </t>
  </si>
  <si>
    <t>Содержание жилья и текущий ремонт,  ОПУ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</si>
  <si>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</si>
  <si>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</si>
  <si>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</si>
  <si>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</si>
  <si>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</si>
  <si>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</si>
  <si>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</si>
  <si>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</si>
  <si>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</si>
  <si>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</si>
  <si>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</si>
  <si>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</si>
  <si>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2022г.</t>
  </si>
  <si>
    <t xml:space="preserve">         ОТЧЕТ по дому Васильева, 41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</si>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</sst>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7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164" fontId="6" fillId="2" borderId="4" xfId="0" applyNumberFormat="1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vertical="top" wrapText="1"/>
    </xf>
    <xf numFmtId="164" fontId="6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6" fillId="4" borderId="3" xfId="0" applyFont="1" applyFill="1" applyBorder="1" applyAlignment="1">
      <alignment vertical="top" wrapText="1"/>
    </xf>
    <xf numFmtId="164" fontId="6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164" fontId="6" fillId="0" borderId="5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4" fontId="6" fillId="0" borderId="9" xfId="0" applyNumberFormat="1" applyFont="1" applyBorder="1" applyAlignment="1">
      <alignment horizontal="left"/>
    </xf>
    <xf numFmtId="4" fontId="6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topLeftCell="A11" zoomScale="75" workbookViewId="0">
      <selection activeCell="A35" sqref="A35"/>
    </sheetView>
  </sheetViews>
  <sheetFormatPr defaultRowHeight="13.2" x14ac:dyDescent="0.25"/>
  <cols>
    <col min="1" max="1" width="58.6640625" customWidth="1"/>
    <col min="2" max="2" width="14.109375" customWidth="1"/>
    <col min="3" max="4" width="14.44140625" customWidth="1"/>
    <col min="5" max="5" width="15" customWidth="1"/>
    <col min="6" max="6" width="14.44140625" customWidth="1"/>
    <col min="7" max="7" width="13.5546875" customWidth="1"/>
    <col min="8" max="8" width="13.44140625" customWidth="1"/>
    <col min="9" max="9" width="14" customWidth="1"/>
    <col min="10" max="13" width="13.33203125" customWidth="1"/>
    <col min="14" max="14" width="18.88671875" customWidth="1"/>
  </cols>
  <sheetData>
    <row r="1" spans="1:14" ht="20.25" customHeight="1" x14ac:dyDescent="0.4">
      <c r="A1" s="23" t="s">
        <v>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7.5" customHeight="1" thickBot="1" x14ac:dyDescent="0.3">
      <c r="A2" s="1"/>
    </row>
    <row r="3" spans="1:14" ht="3" hidden="1" customHeight="1" thickBot="1" x14ac:dyDescent="0.3">
      <c r="A3" s="1"/>
    </row>
    <row r="4" spans="1:14" ht="38.25" customHeight="1" thickBot="1" x14ac:dyDescent="0.3">
      <c r="A4" s="4" t="s">
        <v>0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  <c r="I4" s="5" t="s">
        <v>39</v>
      </c>
      <c r="J4" s="5" t="s">
        <v>40</v>
      </c>
      <c r="K4" s="5" t="s">
        <v>41</v>
      </c>
      <c r="L4" s="5" t="s">
        <v>42</v>
      </c>
      <c r="M4" s="5" t="s">
        <v>43</v>
      </c>
      <c r="N4" s="5" t="s">
        <v>44</v>
      </c>
    </row>
    <row r="5" spans="1:14" ht="23.25" customHeight="1" thickBot="1" x14ac:dyDescent="0.3">
      <c r="A5" s="6" t="s">
        <v>16</v>
      </c>
      <c r="B5" s="7">
        <v>-800047.7</v>
      </c>
      <c r="C5" s="7">
        <f t="shared" ref="C5:D6" si="0">B44</f>
        <v>-798039.12826999999</v>
      </c>
      <c r="D5" s="7">
        <f t="shared" si="0"/>
        <v>-789414.60705999995</v>
      </c>
      <c r="E5" s="7">
        <f t="shared" ref="E5:E6" si="1">D44</f>
        <v>-784564.43647999992</v>
      </c>
      <c r="F5" s="7">
        <f>E44</f>
        <v>-779224.72466999991</v>
      </c>
      <c r="G5" s="7">
        <f t="shared" ref="G5:G6" si="2">F44</f>
        <v>-811633.34320999996</v>
      </c>
      <c r="H5" s="7">
        <f t="shared" ref="H5:H6" si="3">G44</f>
        <v>-794786.94296999997</v>
      </c>
      <c r="I5" s="7">
        <f t="shared" ref="I5:I6" si="4">H44</f>
        <v>-779562.42820999993</v>
      </c>
      <c r="J5" s="7">
        <f t="shared" ref="J5:J6" si="5">I44</f>
        <v>-772660.71686999989</v>
      </c>
      <c r="K5" s="7">
        <f t="shared" ref="K5:K6" si="6">J44</f>
        <v>-761730.04201999982</v>
      </c>
      <c r="L5" s="7">
        <f t="shared" ref="L5:L6" si="7">K44</f>
        <v>-753942.93396999978</v>
      </c>
      <c r="M5" s="7">
        <f t="shared" ref="M5:M6" si="8">L44</f>
        <v>-765715.83356999978</v>
      </c>
      <c r="N5" s="7">
        <f>B5</f>
        <v>-800047.7</v>
      </c>
    </row>
    <row r="6" spans="1:14" ht="21" customHeight="1" thickBot="1" x14ac:dyDescent="0.3">
      <c r="A6" s="6" t="s">
        <v>13</v>
      </c>
      <c r="B6" s="7">
        <v>-377536.37</v>
      </c>
      <c r="C6" s="7">
        <f t="shared" si="0"/>
        <v>-383128.24</v>
      </c>
      <c r="D6" s="7">
        <f t="shared" si="0"/>
        <v>-395329.64</v>
      </c>
      <c r="E6" s="7">
        <f t="shared" si="1"/>
        <v>-403371.72000000003</v>
      </c>
      <c r="F6" s="7">
        <f>E45</f>
        <v>-420789.01</v>
      </c>
      <c r="G6" s="7">
        <f t="shared" si="2"/>
        <v>-427485.69</v>
      </c>
      <c r="H6" s="7">
        <f t="shared" si="3"/>
        <v>-425966.8</v>
      </c>
      <c r="I6" s="7">
        <f t="shared" si="4"/>
        <v>-427641.31</v>
      </c>
      <c r="J6" s="7">
        <f t="shared" si="5"/>
        <v>-435901.32999999996</v>
      </c>
      <c r="K6" s="7">
        <f t="shared" si="6"/>
        <v>-443530.36999999994</v>
      </c>
      <c r="L6" s="7">
        <f t="shared" si="7"/>
        <v>-448045.16999999993</v>
      </c>
      <c r="M6" s="7">
        <f t="shared" si="8"/>
        <v>-457278.15999999992</v>
      </c>
      <c r="N6" s="7">
        <f>B6</f>
        <v>-377536.37</v>
      </c>
    </row>
    <row r="7" spans="1:14" ht="20.25" customHeight="1" thickBot="1" x14ac:dyDescent="0.3">
      <c r="A7" s="8" t="s">
        <v>12</v>
      </c>
      <c r="B7" s="9">
        <f>SUM(B8:B16)</f>
        <v>74925.81</v>
      </c>
      <c r="C7" s="9">
        <f>SUM(C8:C16)</f>
        <v>74732.33</v>
      </c>
      <c r="D7" s="9">
        <f>SUM(D8:D16)</f>
        <v>75011.319999999992</v>
      </c>
      <c r="E7" s="9">
        <f t="shared" ref="E7:M7" si="9">SUM(E8:E16)</f>
        <v>80609.290000000008</v>
      </c>
      <c r="F7" s="9">
        <f t="shared" si="9"/>
        <v>73202.320000000007</v>
      </c>
      <c r="G7" s="9">
        <f t="shared" si="9"/>
        <v>73202.320000000007</v>
      </c>
      <c r="H7" s="9">
        <f t="shared" si="9"/>
        <v>73202.320000000007</v>
      </c>
      <c r="I7" s="9">
        <f t="shared" si="9"/>
        <v>73179.979999999981</v>
      </c>
      <c r="J7" s="9">
        <f t="shared" si="9"/>
        <v>74902.189999999988</v>
      </c>
      <c r="K7" s="9">
        <f t="shared" si="9"/>
        <v>74062.34</v>
      </c>
      <c r="L7" s="9">
        <f t="shared" si="9"/>
        <v>74937.459999999992</v>
      </c>
      <c r="M7" s="9">
        <f t="shared" si="9"/>
        <v>76675.01999999999</v>
      </c>
      <c r="N7" s="9">
        <f>SUM(B7:M7)</f>
        <v>898642.69999999984</v>
      </c>
    </row>
    <row r="8" spans="1:14" ht="24.75" customHeight="1" thickBot="1" x14ac:dyDescent="0.3">
      <c r="A8" s="3" t="s">
        <v>30</v>
      </c>
      <c r="B8" s="10">
        <f t="shared" ref="B8:G8" si="10">65440.38+1640.39</f>
        <v>67080.77</v>
      </c>
      <c r="C8" s="10">
        <f t="shared" si="10"/>
        <v>67080.77</v>
      </c>
      <c r="D8" s="10">
        <f t="shared" si="10"/>
        <v>67080.77</v>
      </c>
      <c r="E8" s="10">
        <f t="shared" si="10"/>
        <v>67080.77</v>
      </c>
      <c r="F8" s="10">
        <f t="shared" si="10"/>
        <v>67080.77</v>
      </c>
      <c r="G8" s="10">
        <f t="shared" si="10"/>
        <v>67080.77</v>
      </c>
      <c r="H8" s="10">
        <f>65440.38+1640.39</f>
        <v>67080.77</v>
      </c>
      <c r="I8" s="10">
        <f>65440.38+1435.35</f>
        <v>66875.73</v>
      </c>
      <c r="J8" s="10">
        <f>65440.38+1435.35</f>
        <v>66875.73</v>
      </c>
      <c r="K8" s="10">
        <f>65440.38+1435.35</f>
        <v>66875.73</v>
      </c>
      <c r="L8" s="10">
        <f>65440.38+1435.35</f>
        <v>66875.73</v>
      </c>
      <c r="M8" s="10">
        <f>65440.38+1435.35</f>
        <v>66875.73</v>
      </c>
      <c r="N8" s="10">
        <f>SUM(B8:M8)</f>
        <v>803944.04</v>
      </c>
    </row>
    <row r="9" spans="1:14" ht="24.75" customHeight="1" thickBot="1" x14ac:dyDescent="0.3">
      <c r="A9" s="3" t="s">
        <v>27</v>
      </c>
      <c r="B9" s="10">
        <v>585.9</v>
      </c>
      <c r="C9" s="10">
        <v>585.9</v>
      </c>
      <c r="D9" s="10">
        <v>585.9</v>
      </c>
      <c r="E9" s="10">
        <v>585.9</v>
      </c>
      <c r="F9" s="10">
        <v>585.9</v>
      </c>
      <c r="G9" s="10">
        <v>585.9</v>
      </c>
      <c r="H9" s="10">
        <v>585.9</v>
      </c>
      <c r="I9" s="10">
        <v>585.9</v>
      </c>
      <c r="J9" s="10">
        <v>585.9</v>
      </c>
      <c r="K9" s="10">
        <v>585.9</v>
      </c>
      <c r="L9" s="10">
        <v>585.9</v>
      </c>
      <c r="M9" s="10">
        <v>585.9</v>
      </c>
      <c r="N9" s="10">
        <f>SUM(B9:M9)</f>
        <v>7030.7999999999984</v>
      </c>
    </row>
    <row r="10" spans="1:14" ht="24.75" customHeight="1" thickBot="1" x14ac:dyDescent="0.3">
      <c r="A10" s="3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f t="shared" ref="N10:N16" si="11">SUM(B10:M10)</f>
        <v>0</v>
      </c>
    </row>
    <row r="11" spans="1:14" ht="24.75" customHeight="1" thickBot="1" x14ac:dyDescent="0.3">
      <c r="A11" s="3" t="s">
        <v>18</v>
      </c>
      <c r="B11" s="10">
        <f t="shared" ref="B11:G11" si="12">247.28+2.21</f>
        <v>249.49</v>
      </c>
      <c r="C11" s="10">
        <f t="shared" si="12"/>
        <v>249.49</v>
      </c>
      <c r="D11" s="10">
        <f t="shared" si="12"/>
        <v>249.49</v>
      </c>
      <c r="E11" s="10">
        <f t="shared" si="12"/>
        <v>249.49</v>
      </c>
      <c r="F11" s="10">
        <f t="shared" si="12"/>
        <v>249.49</v>
      </c>
      <c r="G11" s="10">
        <f t="shared" si="12"/>
        <v>249.49</v>
      </c>
      <c r="H11" s="10">
        <f>247.28+2.21</f>
        <v>249.49</v>
      </c>
      <c r="I11" s="10">
        <f>256.72+2.29</f>
        <v>259.01000000000005</v>
      </c>
      <c r="J11" s="10">
        <f>256.72+2.29</f>
        <v>259.01000000000005</v>
      </c>
      <c r="K11" s="10">
        <f>171.08+1.53</f>
        <v>172.61</v>
      </c>
      <c r="L11" s="10">
        <f>171.08+1.53</f>
        <v>172.61</v>
      </c>
      <c r="M11" s="10">
        <f>171.08+1.53</f>
        <v>172.61</v>
      </c>
      <c r="N11" s="10">
        <f t="shared" si="11"/>
        <v>2782.2800000000007</v>
      </c>
    </row>
    <row r="12" spans="1:14" ht="24.75" customHeight="1" thickBot="1" x14ac:dyDescent="0.3">
      <c r="A12" s="3" t="s">
        <v>19</v>
      </c>
      <c r="B12" s="10">
        <f>1708.21+15.29</f>
        <v>1723.5</v>
      </c>
      <c r="C12" s="10">
        <f>1516.45+13.57</f>
        <v>1530.02</v>
      </c>
      <c r="D12" s="10">
        <f>1792.96+16.05</f>
        <v>1809.01</v>
      </c>
      <c r="E12" s="10">
        <f>7341.25+65.72</f>
        <v>7406.97</v>
      </c>
      <c r="F12" s="10">
        <v>0</v>
      </c>
      <c r="G12" s="10">
        <v>0</v>
      </c>
      <c r="H12" s="10">
        <v>0</v>
      </c>
      <c r="I12" s="10">
        <f>171.64+1.54</f>
        <v>173.17999999999998</v>
      </c>
      <c r="J12" s="10">
        <f>1878.57+16.82</f>
        <v>1895.3899999999999</v>
      </c>
      <c r="K12" s="10">
        <f>1131.81+10.13</f>
        <v>1141.94</v>
      </c>
      <c r="L12" s="10">
        <f>1999.16+17.9</f>
        <v>2017.0600000000002</v>
      </c>
      <c r="M12" s="10">
        <f>3613.38+32.35</f>
        <v>3645.73</v>
      </c>
      <c r="N12" s="10">
        <f t="shared" si="11"/>
        <v>21342.799999999999</v>
      </c>
    </row>
    <row r="13" spans="1:14" ht="24.75" customHeight="1" thickBot="1" x14ac:dyDescent="0.3">
      <c r="A13" s="3" t="s">
        <v>46</v>
      </c>
      <c r="B13" s="10">
        <f t="shared" ref="B13:G13" si="13">4224+50</f>
        <v>4274</v>
      </c>
      <c r="C13" s="10">
        <f t="shared" si="13"/>
        <v>4274</v>
      </c>
      <c r="D13" s="10">
        <f t="shared" si="13"/>
        <v>4274</v>
      </c>
      <c r="E13" s="10">
        <f t="shared" si="13"/>
        <v>4274</v>
      </c>
      <c r="F13" s="10">
        <f t="shared" si="13"/>
        <v>4274</v>
      </c>
      <c r="G13" s="10">
        <f t="shared" si="13"/>
        <v>4274</v>
      </c>
      <c r="H13" s="10">
        <f t="shared" ref="H13:M13" si="14">4224+50</f>
        <v>4274</v>
      </c>
      <c r="I13" s="10">
        <f t="shared" si="14"/>
        <v>4274</v>
      </c>
      <c r="J13" s="10">
        <f t="shared" si="14"/>
        <v>4274</v>
      </c>
      <c r="K13" s="10">
        <f t="shared" si="14"/>
        <v>4274</v>
      </c>
      <c r="L13" s="10">
        <f t="shared" si="14"/>
        <v>4274</v>
      </c>
      <c r="M13" s="10">
        <f t="shared" si="14"/>
        <v>4274</v>
      </c>
      <c r="N13" s="10">
        <f t="shared" si="11"/>
        <v>51288</v>
      </c>
    </row>
    <row r="14" spans="1:14" ht="24.75" customHeight="1" thickBot="1" x14ac:dyDescent="0.3">
      <c r="A14" s="3" t="s">
        <v>26</v>
      </c>
      <c r="B14" s="10">
        <f>339.13+3.02</f>
        <v>342.15</v>
      </c>
      <c r="C14" s="10">
        <f>339.13+3.02</f>
        <v>342.15</v>
      </c>
      <c r="D14" s="10">
        <f>339.13+3.02</f>
        <v>342.15</v>
      </c>
      <c r="E14" s="10">
        <f t="shared" ref="E14:J14" si="15">339.13+3.03</f>
        <v>342.15999999999997</v>
      </c>
      <c r="F14" s="10">
        <f t="shared" si="15"/>
        <v>342.15999999999997</v>
      </c>
      <c r="G14" s="10">
        <f t="shared" si="15"/>
        <v>342.15999999999997</v>
      </c>
      <c r="H14" s="10">
        <f t="shared" si="15"/>
        <v>342.15999999999997</v>
      </c>
      <c r="I14" s="10">
        <f t="shared" si="15"/>
        <v>342.15999999999997</v>
      </c>
      <c r="J14" s="10">
        <f t="shared" si="15"/>
        <v>342.15999999999997</v>
      </c>
      <c r="K14" s="10">
        <f>339.13+3.03</f>
        <v>342.15999999999997</v>
      </c>
      <c r="L14" s="10">
        <f>339.13+3.03</f>
        <v>342.15999999999997</v>
      </c>
      <c r="M14" s="10">
        <f>447.05+4</f>
        <v>451.05</v>
      </c>
      <c r="N14" s="10">
        <f t="shared" si="11"/>
        <v>4214.7799999999988</v>
      </c>
    </row>
    <row r="15" spans="1:14" ht="24.75" hidden="1" customHeight="1" thickBot="1" x14ac:dyDescent="0.3">
      <c r="A15" s="19" t="s">
        <v>28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>
        <f t="shared" si="11"/>
        <v>0</v>
      </c>
    </row>
    <row r="16" spans="1:14" ht="24.75" customHeight="1" thickBot="1" x14ac:dyDescent="0.3">
      <c r="A16" s="3" t="s">
        <v>15</v>
      </c>
      <c r="B16" s="10">
        <v>670</v>
      </c>
      <c r="C16" s="10">
        <v>670</v>
      </c>
      <c r="D16" s="10">
        <v>670</v>
      </c>
      <c r="E16" s="10">
        <v>670</v>
      </c>
      <c r="F16" s="10">
        <v>670</v>
      </c>
      <c r="G16" s="10">
        <v>670</v>
      </c>
      <c r="H16" s="10">
        <v>670</v>
      </c>
      <c r="I16" s="10">
        <v>670</v>
      </c>
      <c r="J16" s="10">
        <v>670</v>
      </c>
      <c r="K16" s="10">
        <v>670</v>
      </c>
      <c r="L16" s="10">
        <v>670</v>
      </c>
      <c r="M16" s="10">
        <v>670</v>
      </c>
      <c r="N16" s="10">
        <f t="shared" si="11"/>
        <v>8040</v>
      </c>
    </row>
    <row r="17" spans="1:15" ht="20.25" customHeight="1" thickBot="1" x14ac:dyDescent="0.3">
      <c r="A17" s="11" t="s">
        <v>8</v>
      </c>
      <c r="B17" s="12">
        <f>SUM(B18:B26)</f>
        <v>69333.94</v>
      </c>
      <c r="C17" s="12">
        <f t="shared" ref="C17:M17" si="16">SUM(C18:C26)</f>
        <v>62530.930000000008</v>
      </c>
      <c r="D17" s="12">
        <f t="shared" si="16"/>
        <v>66969.240000000005</v>
      </c>
      <c r="E17" s="12">
        <f t="shared" si="16"/>
        <v>63192.000000000007</v>
      </c>
      <c r="F17" s="12">
        <f t="shared" si="16"/>
        <v>66505.64</v>
      </c>
      <c r="G17" s="12">
        <f t="shared" si="16"/>
        <v>74721.209999999992</v>
      </c>
      <c r="H17" s="12">
        <f t="shared" si="16"/>
        <v>71527.810000000012</v>
      </c>
      <c r="I17" s="12">
        <f t="shared" si="16"/>
        <v>64919.96</v>
      </c>
      <c r="J17" s="12">
        <f t="shared" si="16"/>
        <v>67273.150000000009</v>
      </c>
      <c r="K17" s="12">
        <f t="shared" si="16"/>
        <v>69547.540000000008</v>
      </c>
      <c r="L17" s="12">
        <f t="shared" si="16"/>
        <v>65704.47</v>
      </c>
      <c r="M17" s="12">
        <f t="shared" si="16"/>
        <v>70074.960000000006</v>
      </c>
      <c r="N17" s="12">
        <f>SUM(B17:M17)</f>
        <v>812300.85</v>
      </c>
    </row>
    <row r="18" spans="1:15" ht="24" customHeight="1" thickBot="1" x14ac:dyDescent="0.3">
      <c r="A18" s="3" t="s">
        <v>31</v>
      </c>
      <c r="B18" s="10">
        <f>62800.43+1438.86</f>
        <v>64239.29</v>
      </c>
      <c r="C18" s="10">
        <f>54753.53+1329.97+467.41</f>
        <v>56550.91</v>
      </c>
      <c r="D18" s="10">
        <f>59534.37+1348.26</f>
        <v>60882.630000000005</v>
      </c>
      <c r="E18" s="10">
        <f>55995.51+1309.89</f>
        <v>57305.4</v>
      </c>
      <c r="F18" s="10">
        <f>54345.37+5+1453.13</f>
        <v>55803.5</v>
      </c>
      <c r="G18" s="10">
        <f>67294.01+1464.61</f>
        <v>68758.62</v>
      </c>
      <c r="H18" s="10">
        <f>64166.55+1595.3</f>
        <v>65761.850000000006</v>
      </c>
      <c r="I18" s="10">
        <f>58208.84+1515.89</f>
        <v>59724.729999999996</v>
      </c>
      <c r="J18" s="10">
        <f>59837.53+1192.34</f>
        <v>61029.869999999995</v>
      </c>
      <c r="K18" s="10">
        <f>61403.2+1281.72</f>
        <v>62684.92</v>
      </c>
      <c r="L18" s="10">
        <f>57163.28+1495.46</f>
        <v>58658.74</v>
      </c>
      <c r="M18" s="10">
        <f>62187.22+1451.65</f>
        <v>63638.87</v>
      </c>
      <c r="N18" s="10">
        <f>SUM(B18:M18)</f>
        <v>735039.33</v>
      </c>
    </row>
    <row r="19" spans="1:15" ht="24" customHeight="1" thickBot="1" x14ac:dyDescent="0.3">
      <c r="A19" s="3" t="s">
        <v>27</v>
      </c>
      <c r="B19" s="10">
        <v>585.9</v>
      </c>
      <c r="C19" s="10">
        <v>585.9</v>
      </c>
      <c r="D19" s="10">
        <v>585.9</v>
      </c>
      <c r="E19" s="10">
        <v>585.9</v>
      </c>
      <c r="F19" s="10">
        <v>585.9</v>
      </c>
      <c r="G19" s="10">
        <v>585.9</v>
      </c>
      <c r="H19" s="10">
        <v>585.9</v>
      </c>
      <c r="I19" s="10">
        <v>585.9</v>
      </c>
      <c r="J19" s="10">
        <v>585.9</v>
      </c>
      <c r="K19" s="10">
        <v>585.9</v>
      </c>
      <c r="L19" s="10">
        <v>585.9</v>
      </c>
      <c r="M19" s="10">
        <v>0</v>
      </c>
      <c r="N19" s="10">
        <f>SUM(B19:M19)</f>
        <v>6444.8999999999987</v>
      </c>
    </row>
    <row r="20" spans="1:15" ht="26.25" customHeight="1" thickBot="1" x14ac:dyDescent="0.3">
      <c r="A20" s="3" t="s">
        <v>17</v>
      </c>
      <c r="B20" s="10">
        <v>27.47</v>
      </c>
      <c r="C20" s="10">
        <v>28.73</v>
      </c>
      <c r="D20" s="10">
        <v>7.46</v>
      </c>
      <c r="E20" s="10">
        <v>2.2599999999999998</v>
      </c>
      <c r="F20" s="10">
        <v>2.1</v>
      </c>
      <c r="G20" s="10">
        <v>100.37</v>
      </c>
      <c r="H20" s="10">
        <v>24.19</v>
      </c>
      <c r="I20" s="10">
        <v>20.79</v>
      </c>
      <c r="J20" s="10">
        <v>20.12</v>
      </c>
      <c r="K20" s="10">
        <v>0.26</v>
      </c>
      <c r="L20" s="10">
        <v>14.31</v>
      </c>
      <c r="M20" s="10">
        <v>3.48</v>
      </c>
      <c r="N20" s="10">
        <f t="shared" ref="N20:N25" si="17">SUM(B20:M20)</f>
        <v>251.53999999999996</v>
      </c>
    </row>
    <row r="21" spans="1:15" ht="26.25" customHeight="1" thickBot="1" x14ac:dyDescent="0.3">
      <c r="A21" s="3" t="s">
        <v>18</v>
      </c>
      <c r="B21" s="10">
        <f>0+2.21</f>
        <v>2.21</v>
      </c>
      <c r="C21" s="10">
        <f>0+2.21</f>
        <v>2.21</v>
      </c>
      <c r="D21" s="10">
        <f>0+2.21</f>
        <v>2.21</v>
      </c>
      <c r="E21" s="10">
        <f>0+2.21</f>
        <v>2.21</v>
      </c>
      <c r="F21" s="10">
        <f>0+2.21</f>
        <v>2.21</v>
      </c>
      <c r="G21" s="10">
        <v>0</v>
      </c>
      <c r="H21" s="10">
        <f>0+2.21</f>
        <v>2.21</v>
      </c>
      <c r="I21" s="10">
        <f>0+2.21</f>
        <v>2.21</v>
      </c>
      <c r="J21" s="10">
        <f>0+2.29</f>
        <v>2.29</v>
      </c>
      <c r="K21" s="10">
        <v>0</v>
      </c>
      <c r="L21" s="10">
        <v>0</v>
      </c>
      <c r="M21" s="10">
        <v>0</v>
      </c>
      <c r="N21" s="10">
        <f t="shared" si="17"/>
        <v>17.760000000000002</v>
      </c>
    </row>
    <row r="22" spans="1:15" ht="26.25" customHeight="1" thickBot="1" x14ac:dyDescent="0.3">
      <c r="A22" s="3" t="s">
        <v>19</v>
      </c>
      <c r="B22" s="10">
        <v>181.36</v>
      </c>
      <c r="C22" s="10">
        <f>1395.31+15.29</f>
        <v>1410.6</v>
      </c>
      <c r="D22" s="10">
        <f>1218.2+13.57</f>
        <v>1231.77</v>
      </c>
      <c r="E22" s="10">
        <f>1392.03+16.05</f>
        <v>1408.08</v>
      </c>
      <c r="F22" s="10">
        <f>5566.18+65.72</f>
        <v>5631.9000000000005</v>
      </c>
      <c r="G22" s="10">
        <v>912.6</v>
      </c>
      <c r="H22" s="10">
        <v>478.49</v>
      </c>
      <c r="I22" s="10">
        <v>184.37</v>
      </c>
      <c r="J22" s="10">
        <f>229.25+1.54</f>
        <v>230.79</v>
      </c>
      <c r="K22" s="10">
        <f>1525+16.82</f>
        <v>1541.82</v>
      </c>
      <c r="L22" s="10">
        <f>1009.18+10.13</f>
        <v>1019.31</v>
      </c>
      <c r="M22" s="10">
        <v>1783.06</v>
      </c>
      <c r="N22" s="10">
        <f t="shared" si="17"/>
        <v>16014.15</v>
      </c>
    </row>
    <row r="23" spans="1:15" ht="26.25" customHeight="1" thickBot="1" x14ac:dyDescent="0.3">
      <c r="A23" s="3" t="s">
        <v>46</v>
      </c>
      <c r="B23" s="10">
        <f>3553.19+50</f>
        <v>3603.19</v>
      </c>
      <c r="C23" s="10">
        <f>3215.14+50</f>
        <v>3265.14</v>
      </c>
      <c r="D23" s="10">
        <f>3532.14+50</f>
        <v>3582.14</v>
      </c>
      <c r="E23" s="10">
        <f>3167.67+50</f>
        <v>3217.67</v>
      </c>
      <c r="F23" s="10">
        <f>3745.38+50</f>
        <v>3795.38</v>
      </c>
      <c r="G23" s="10">
        <f>3559.39+50</f>
        <v>3609.39</v>
      </c>
      <c r="H23" s="10">
        <f>3888.94+50</f>
        <v>3938.94</v>
      </c>
      <c r="I23" s="10">
        <f>3646.76+50</f>
        <v>3696.76</v>
      </c>
      <c r="J23" s="10">
        <f>4220.57+50</f>
        <v>4270.57</v>
      </c>
      <c r="K23" s="10">
        <f>3963.4+50</f>
        <v>4013.4</v>
      </c>
      <c r="L23" s="10">
        <f>4676.53+50</f>
        <v>4726.53</v>
      </c>
      <c r="M23" s="10">
        <v>3925.75</v>
      </c>
      <c r="N23" s="10">
        <f t="shared" si="17"/>
        <v>45644.86</v>
      </c>
    </row>
    <row r="24" spans="1:15" ht="26.25" customHeight="1" thickBot="1" x14ac:dyDescent="0.3">
      <c r="A24" s="3" t="s">
        <v>26</v>
      </c>
      <c r="B24" s="10">
        <f>291.5+3.02</f>
        <v>294.52</v>
      </c>
      <c r="C24" s="10">
        <f>284.42+3.02</f>
        <v>287.44</v>
      </c>
      <c r="D24" s="10">
        <f>274.11+3.02</f>
        <v>277.13</v>
      </c>
      <c r="E24" s="10">
        <f>267.45+3.03</f>
        <v>270.47999999999996</v>
      </c>
      <c r="F24" s="10">
        <f>281.62+3.03</f>
        <v>284.64999999999998</v>
      </c>
      <c r="G24" s="10">
        <f>351.3+3.03</f>
        <v>354.33</v>
      </c>
      <c r="H24" s="10">
        <f>333.2+3.03</f>
        <v>336.22999999999996</v>
      </c>
      <c r="I24" s="10">
        <f>302.17+3.03</f>
        <v>305.2</v>
      </c>
      <c r="J24" s="10">
        <f>310.58+3.03</f>
        <v>313.60999999999996</v>
      </c>
      <c r="K24" s="10">
        <f>318.21+3.03</f>
        <v>321.23999999999995</v>
      </c>
      <c r="L24" s="10">
        <f>296.65+3.03</f>
        <v>299.67999999999995</v>
      </c>
      <c r="M24" s="10">
        <v>323.8</v>
      </c>
      <c r="N24" s="10">
        <f t="shared" si="17"/>
        <v>3668.3099999999995</v>
      </c>
    </row>
    <row r="25" spans="1:15" ht="26.25" hidden="1" customHeight="1" thickBot="1" x14ac:dyDescent="0.3">
      <c r="A25" s="19" t="s">
        <v>28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>
        <f t="shared" si="17"/>
        <v>0</v>
      </c>
    </row>
    <row r="26" spans="1:15" ht="26.25" customHeight="1" thickBot="1" x14ac:dyDescent="0.3">
      <c r="A26" s="3" t="s">
        <v>15</v>
      </c>
      <c r="B26" s="13">
        <v>400</v>
      </c>
      <c r="C26" s="13">
        <v>400</v>
      </c>
      <c r="D26" s="13">
        <v>400</v>
      </c>
      <c r="E26" s="13">
        <v>400</v>
      </c>
      <c r="F26" s="13">
        <v>400</v>
      </c>
      <c r="G26" s="13">
        <v>400</v>
      </c>
      <c r="H26" s="13">
        <v>400</v>
      </c>
      <c r="I26" s="13">
        <v>400</v>
      </c>
      <c r="J26" s="13">
        <v>820</v>
      </c>
      <c r="K26" s="10">
        <v>400</v>
      </c>
      <c r="L26" s="10">
        <v>400</v>
      </c>
      <c r="M26" s="10">
        <v>400</v>
      </c>
      <c r="N26" s="10">
        <f>SUM(B26:M26)</f>
        <v>5220</v>
      </c>
      <c r="O26" s="2"/>
    </row>
    <row r="27" spans="1:15" ht="21.75" customHeight="1" thickBot="1" x14ac:dyDescent="0.3">
      <c r="A27" s="14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/>
    </row>
    <row r="28" spans="1:15" ht="19.5" customHeight="1" thickBot="1" x14ac:dyDescent="0.3">
      <c r="A28" s="3" t="s">
        <v>1</v>
      </c>
      <c r="B28" s="10">
        <f>3549.8*0.55</f>
        <v>1952.3900000000003</v>
      </c>
      <c r="C28" s="10">
        <f t="shared" ref="C28:K28" si="18">3549.8*0.55</f>
        <v>1952.3900000000003</v>
      </c>
      <c r="D28" s="10">
        <f t="shared" si="18"/>
        <v>1952.3900000000003</v>
      </c>
      <c r="E28" s="10">
        <f t="shared" si="18"/>
        <v>1952.3900000000003</v>
      </c>
      <c r="F28" s="10">
        <f t="shared" si="18"/>
        <v>1952.3900000000003</v>
      </c>
      <c r="G28" s="10">
        <f t="shared" si="18"/>
        <v>1952.3900000000003</v>
      </c>
      <c r="H28" s="10">
        <f t="shared" si="18"/>
        <v>1952.3900000000003</v>
      </c>
      <c r="I28" s="10">
        <f t="shared" si="18"/>
        <v>1952.3900000000003</v>
      </c>
      <c r="J28" s="10">
        <f t="shared" si="18"/>
        <v>1952.3900000000003</v>
      </c>
      <c r="K28" s="10">
        <f t="shared" si="18"/>
        <v>1952.3900000000003</v>
      </c>
      <c r="L28" s="10">
        <f>3549.8*0.6</f>
        <v>2129.88</v>
      </c>
      <c r="M28" s="10">
        <f>3549.8*0.6</f>
        <v>2129.88</v>
      </c>
      <c r="N28" s="10">
        <f t="shared" ref="N28:N41" si="19">SUM(B28:M28)</f>
        <v>23783.66</v>
      </c>
    </row>
    <row r="29" spans="1:15" ht="22.5" customHeight="1" thickBot="1" x14ac:dyDescent="0.3">
      <c r="A29" s="3" t="s">
        <v>2</v>
      </c>
      <c r="B29" s="10">
        <f>3549.8*0.17</f>
        <v>603.46600000000012</v>
      </c>
      <c r="C29" s="10">
        <f t="shared" ref="C29:M29" si="20">3549.8*0.17</f>
        <v>603.46600000000012</v>
      </c>
      <c r="D29" s="10">
        <f t="shared" si="20"/>
        <v>603.46600000000012</v>
      </c>
      <c r="E29" s="10">
        <f t="shared" si="20"/>
        <v>603.46600000000012</v>
      </c>
      <c r="F29" s="10">
        <f t="shared" si="20"/>
        <v>603.46600000000012</v>
      </c>
      <c r="G29" s="10">
        <f t="shared" si="20"/>
        <v>603.46600000000012</v>
      </c>
      <c r="H29" s="10">
        <f t="shared" si="20"/>
        <v>603.46600000000012</v>
      </c>
      <c r="I29" s="10">
        <f t="shared" si="20"/>
        <v>603.46600000000012</v>
      </c>
      <c r="J29" s="10">
        <f t="shared" si="20"/>
        <v>603.46600000000012</v>
      </c>
      <c r="K29" s="10">
        <f t="shared" si="20"/>
        <v>603.46600000000012</v>
      </c>
      <c r="L29" s="10">
        <f t="shared" si="20"/>
        <v>603.46600000000012</v>
      </c>
      <c r="M29" s="10">
        <f t="shared" si="20"/>
        <v>603.46600000000012</v>
      </c>
      <c r="N29" s="10">
        <f t="shared" si="19"/>
        <v>7241.5920000000033</v>
      </c>
    </row>
    <row r="30" spans="1:15" ht="21" customHeight="1" thickBot="1" x14ac:dyDescent="0.3">
      <c r="A30" s="3" t="s">
        <v>3</v>
      </c>
      <c r="B30" s="10">
        <f>73599.39*2.3%</f>
        <v>1692.7859699999999</v>
      </c>
      <c r="C30" s="10">
        <f>73407.63*2.3%</f>
        <v>1688.3754900000001</v>
      </c>
      <c r="D30" s="10">
        <f>73684.14*2.3%</f>
        <v>1694.73522</v>
      </c>
      <c r="E30" s="10">
        <f>79232.43*2.3%</f>
        <v>1822.3458899999998</v>
      </c>
      <c r="F30" s="10">
        <f>71891.18*2.3%</f>
        <v>1653.4971399999997</v>
      </c>
      <c r="G30" s="10">
        <f>72532.32*2.3%</f>
        <v>1668.2433600000002</v>
      </c>
      <c r="H30" s="10">
        <f>71891.18*2.3%</f>
        <v>1653.4971399999997</v>
      </c>
      <c r="I30" s="10">
        <f>71867.22*2.3%</f>
        <v>1652.94606</v>
      </c>
      <c r="J30" s="10">
        <f>73574.15*2.3%</f>
        <v>1692.2054499999999</v>
      </c>
      <c r="K30" s="10">
        <f>72741.75*2.3%</f>
        <v>1673.06025</v>
      </c>
      <c r="L30" s="10">
        <f>73609.1*2.3%</f>
        <v>1693.0093000000002</v>
      </c>
      <c r="M30" s="10">
        <f>75331.24*2.3%</f>
        <v>1732.61852</v>
      </c>
      <c r="N30" s="10">
        <f t="shared" si="19"/>
        <v>20317.319790000001</v>
      </c>
    </row>
    <row r="31" spans="1:15" ht="23.25" customHeight="1" thickBot="1" x14ac:dyDescent="0.3">
      <c r="A31" s="3" t="s">
        <v>4</v>
      </c>
      <c r="B31" s="10">
        <f>68292.81*3%</f>
        <v>2048.7842999999998</v>
      </c>
      <c r="C31" s="10">
        <f>61474.51*3%</f>
        <v>1844.2353000000001</v>
      </c>
      <c r="D31" s="10">
        <f>65914.54*3%</f>
        <v>1977.4361999999996</v>
      </c>
      <c r="E31" s="10">
        <f>62134.81*3%</f>
        <v>1864.0442999999998</v>
      </c>
      <c r="F31" s="10">
        <f>65398.78*3%</f>
        <v>1961.9633999999999</v>
      </c>
      <c r="G31" s="10">
        <f>73682.28*3%</f>
        <v>2210.4683999999997</v>
      </c>
      <c r="H31" s="10">
        <f>70486.67*3%</f>
        <v>2114.6000999999997</v>
      </c>
      <c r="I31" s="10">
        <f>63878.82*3%</f>
        <v>1916.3645999999999</v>
      </c>
      <c r="J31" s="10">
        <f>65810.39*3%</f>
        <v>1974.3117</v>
      </c>
      <c r="K31" s="10">
        <f>68491.79*3%</f>
        <v>2054.7536999999998</v>
      </c>
      <c r="L31" s="10">
        <f>64655.41*3%</f>
        <v>1939.6623</v>
      </c>
      <c r="M31" s="10">
        <f>69674.96*3%</f>
        <v>2090.2488000000003</v>
      </c>
      <c r="N31" s="10">
        <f t="shared" si="19"/>
        <v>23996.873100000001</v>
      </c>
    </row>
    <row r="32" spans="1:15" ht="23.25" customHeight="1" thickBot="1" x14ac:dyDescent="0.3">
      <c r="A32" s="3" t="s">
        <v>9</v>
      </c>
      <c r="B32" s="20">
        <f t="shared" ref="B32:F32" si="21">3549.8*8.5</f>
        <v>30173.300000000003</v>
      </c>
      <c r="C32" s="20">
        <f t="shared" si="21"/>
        <v>30173.300000000003</v>
      </c>
      <c r="D32" s="20">
        <f t="shared" si="21"/>
        <v>30173.300000000003</v>
      </c>
      <c r="E32" s="20">
        <f t="shared" si="21"/>
        <v>30173.300000000003</v>
      </c>
      <c r="F32" s="20">
        <f t="shared" si="21"/>
        <v>30173.300000000003</v>
      </c>
      <c r="G32" s="20">
        <f>3549.8*8.5</f>
        <v>30173.300000000003</v>
      </c>
      <c r="H32" s="20">
        <f>3549.8*9.7</f>
        <v>34433.06</v>
      </c>
      <c r="I32" s="20">
        <f t="shared" ref="I32:M32" si="22">3549.8*9.7</f>
        <v>34433.06</v>
      </c>
      <c r="J32" s="20">
        <f t="shared" si="22"/>
        <v>34433.06</v>
      </c>
      <c r="K32" s="20">
        <f t="shared" si="22"/>
        <v>34433.06</v>
      </c>
      <c r="L32" s="20">
        <f t="shared" si="22"/>
        <v>34433.06</v>
      </c>
      <c r="M32" s="20">
        <f t="shared" si="22"/>
        <v>34433.06</v>
      </c>
      <c r="N32" s="10">
        <f t="shared" si="19"/>
        <v>387638.16</v>
      </c>
    </row>
    <row r="33" spans="1:14" ht="26.25" customHeight="1" thickBot="1" x14ac:dyDescent="0.3">
      <c r="A33" s="3" t="s">
        <v>20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f t="shared" si="19"/>
        <v>0</v>
      </c>
    </row>
    <row r="34" spans="1:14" ht="26.25" customHeight="1" thickBot="1" x14ac:dyDescent="0.3">
      <c r="A34" s="3" t="s">
        <v>21</v>
      </c>
      <c r="B34" s="10">
        <v>249.54</v>
      </c>
      <c r="C34" s="10">
        <v>249.54</v>
      </c>
      <c r="D34" s="10">
        <v>249.54</v>
      </c>
      <c r="E34" s="10">
        <v>249.54</v>
      </c>
      <c r="F34" s="10">
        <v>249.54</v>
      </c>
      <c r="G34" s="10">
        <v>249.54</v>
      </c>
      <c r="H34" s="10">
        <v>259.02</v>
      </c>
      <c r="I34" s="10">
        <v>259.02</v>
      </c>
      <c r="J34" s="10">
        <v>259.02</v>
      </c>
      <c r="K34" s="10">
        <v>259.02</v>
      </c>
      <c r="L34" s="10">
        <v>259.02</v>
      </c>
      <c r="M34" s="10">
        <v>350.74</v>
      </c>
      <c r="N34" s="10">
        <f t="shared" si="19"/>
        <v>3143.08</v>
      </c>
    </row>
    <row r="35" spans="1:14" ht="26.25" customHeight="1" thickBot="1" x14ac:dyDescent="0.3">
      <c r="A35" s="3" t="s">
        <v>22</v>
      </c>
      <c r="B35" s="10">
        <v>1530</v>
      </c>
      <c r="C35" s="10">
        <v>1809</v>
      </c>
      <c r="D35" s="10">
        <v>7407</v>
      </c>
      <c r="E35" s="10">
        <v>0</v>
      </c>
      <c r="F35" s="10">
        <v>0</v>
      </c>
      <c r="G35" s="10">
        <v>0</v>
      </c>
      <c r="H35" s="10">
        <v>173.16</v>
      </c>
      <c r="I35" s="10">
        <v>1895.4</v>
      </c>
      <c r="J35" s="10">
        <v>1141.92</v>
      </c>
      <c r="K35" s="10">
        <v>2017.08</v>
      </c>
      <c r="L35" s="10">
        <v>3645.72</v>
      </c>
      <c r="M35" s="10">
        <v>4340.1000000000004</v>
      </c>
      <c r="N35" s="10">
        <f t="shared" si="19"/>
        <v>23959.379999999997</v>
      </c>
    </row>
    <row r="36" spans="1:14" ht="26.25" customHeight="1" thickBot="1" x14ac:dyDescent="0.3">
      <c r="A36" s="3" t="s">
        <v>26</v>
      </c>
      <c r="B36" s="10">
        <v>342.16</v>
      </c>
      <c r="C36" s="10">
        <v>342.16</v>
      </c>
      <c r="D36" s="10">
        <v>342.16</v>
      </c>
      <c r="E36" s="10">
        <v>342.16</v>
      </c>
      <c r="F36" s="10">
        <v>342.16</v>
      </c>
      <c r="G36" s="10">
        <v>342.16</v>
      </c>
      <c r="H36" s="10">
        <v>342.16</v>
      </c>
      <c r="I36" s="10">
        <v>342.16</v>
      </c>
      <c r="J36" s="10">
        <v>342.16</v>
      </c>
      <c r="K36" s="10">
        <v>342.16</v>
      </c>
      <c r="L36" s="10">
        <v>342.16</v>
      </c>
      <c r="M36" s="10">
        <v>451.19</v>
      </c>
      <c r="N36" s="10">
        <f t="shared" si="19"/>
        <v>4214.9499999999989</v>
      </c>
    </row>
    <row r="37" spans="1:14" ht="22.5" customHeight="1" thickBot="1" x14ac:dyDescent="0.3">
      <c r="A37" s="3" t="s">
        <v>6</v>
      </c>
      <c r="B37" s="20">
        <f t="shared" ref="B37:M37" si="23">3549.8*2.79</f>
        <v>9903.9420000000009</v>
      </c>
      <c r="C37" s="20">
        <f t="shared" si="23"/>
        <v>9903.9420000000009</v>
      </c>
      <c r="D37" s="20">
        <f t="shared" si="23"/>
        <v>9903.9420000000009</v>
      </c>
      <c r="E37" s="20">
        <f t="shared" si="23"/>
        <v>9903.9420000000009</v>
      </c>
      <c r="F37" s="20">
        <f t="shared" si="23"/>
        <v>9903.9420000000009</v>
      </c>
      <c r="G37" s="20">
        <f t="shared" si="23"/>
        <v>9903.9420000000009</v>
      </c>
      <c r="H37" s="20">
        <f t="shared" si="23"/>
        <v>9903.9420000000009</v>
      </c>
      <c r="I37" s="20">
        <f t="shared" si="23"/>
        <v>9903.9420000000009</v>
      </c>
      <c r="J37" s="20">
        <f t="shared" si="23"/>
        <v>9903.9420000000009</v>
      </c>
      <c r="K37" s="20">
        <f t="shared" si="23"/>
        <v>9903.9420000000009</v>
      </c>
      <c r="L37" s="20">
        <f t="shared" si="23"/>
        <v>9903.9420000000009</v>
      </c>
      <c r="M37" s="20">
        <f t="shared" si="23"/>
        <v>9903.9420000000009</v>
      </c>
      <c r="N37" s="10">
        <f t="shared" si="19"/>
        <v>118847.30399999999</v>
      </c>
    </row>
    <row r="38" spans="1:14" ht="21.75" customHeight="1" thickBot="1" x14ac:dyDescent="0.3">
      <c r="A38" s="3" t="s">
        <v>46</v>
      </c>
      <c r="B38" s="10">
        <v>3365</v>
      </c>
      <c r="C38" s="10">
        <v>4200</v>
      </c>
      <c r="D38" s="10">
        <v>2215</v>
      </c>
      <c r="E38" s="10">
        <v>4080</v>
      </c>
      <c r="F38" s="10">
        <v>3545</v>
      </c>
      <c r="G38" s="10">
        <v>3035</v>
      </c>
      <c r="H38" s="10">
        <v>3968</v>
      </c>
      <c r="I38" s="10">
        <v>3140</v>
      </c>
      <c r="J38" s="10">
        <v>3140</v>
      </c>
      <c r="K38" s="10">
        <v>3600</v>
      </c>
      <c r="L38" s="10">
        <v>4430</v>
      </c>
      <c r="M38" s="10">
        <v>3455</v>
      </c>
      <c r="N38" s="10">
        <f t="shared" si="19"/>
        <v>42173</v>
      </c>
    </row>
    <row r="39" spans="1:14" ht="24.75" customHeight="1" thickBot="1" x14ac:dyDescent="0.3">
      <c r="A39" s="3" t="s">
        <v>25</v>
      </c>
      <c r="B39" s="10">
        <f>1140</f>
        <v>1140</v>
      </c>
      <c r="C39" s="10">
        <f>1140</f>
        <v>1140</v>
      </c>
      <c r="D39" s="10">
        <f>1140</f>
        <v>1140</v>
      </c>
      <c r="E39" s="10">
        <f>1140</f>
        <v>1140</v>
      </c>
      <c r="F39" s="10">
        <f>1140</f>
        <v>1140</v>
      </c>
      <c r="G39" s="10">
        <v>900</v>
      </c>
      <c r="H39" s="10">
        <v>900</v>
      </c>
      <c r="I39" s="10">
        <v>900</v>
      </c>
      <c r="J39" s="10">
        <v>900</v>
      </c>
      <c r="K39" s="10">
        <f>900</f>
        <v>900</v>
      </c>
      <c r="L39" s="10">
        <f>900</f>
        <v>900</v>
      </c>
      <c r="M39" s="10">
        <f>900</f>
        <v>900</v>
      </c>
      <c r="N39" s="10">
        <f t="shared" si="19"/>
        <v>12000</v>
      </c>
    </row>
    <row r="40" spans="1:14" ht="24.75" customHeight="1" thickBot="1" x14ac:dyDescent="0.3">
      <c r="A40" s="3" t="s">
        <v>14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14758.85</v>
      </c>
      <c r="M40" s="10">
        <v>0</v>
      </c>
      <c r="N40" s="10">
        <f t="shared" si="19"/>
        <v>14758.85</v>
      </c>
    </row>
    <row r="41" spans="1:14" ht="24" customHeight="1" thickBot="1" x14ac:dyDescent="0.3">
      <c r="A41" s="3" t="s">
        <v>10</v>
      </c>
      <c r="B41" s="10">
        <f>9912.2+4411.8</f>
        <v>14324</v>
      </c>
      <c r="C41" s="10">
        <v>0</v>
      </c>
      <c r="D41" s="10">
        <f>4460.1</f>
        <v>4460.1000000000004</v>
      </c>
      <c r="E41" s="10">
        <f>2102.1+1130.4+2488.6</f>
        <v>5721.1</v>
      </c>
      <c r="F41" s="10">
        <f>11639+35750</f>
        <v>47389</v>
      </c>
      <c r="G41" s="10">
        <f>3096.5+2638.6+1101.2</f>
        <v>6836.3</v>
      </c>
      <c r="H41" s="10">
        <v>0</v>
      </c>
      <c r="I41" s="10">
        <f>1019.5</f>
        <v>1019.5</v>
      </c>
      <c r="J41" s="10">
        <v>0</v>
      </c>
      <c r="K41" s="10">
        <f>896.9+2119.3+1005.3</f>
        <v>4021.5</v>
      </c>
      <c r="L41" s="10">
        <f>2438.6</f>
        <v>2438.6</v>
      </c>
      <c r="M41" s="10">
        <v>0</v>
      </c>
      <c r="N41" s="10">
        <f t="shared" si="19"/>
        <v>86210.1</v>
      </c>
    </row>
    <row r="42" spans="1:14" ht="22.5" customHeight="1" thickBot="1" x14ac:dyDescent="0.3">
      <c r="A42" s="8" t="s">
        <v>23</v>
      </c>
      <c r="B42" s="9">
        <f t="shared" ref="B42:M42" si="24">SUM(B28:B41)</f>
        <v>67325.368270000006</v>
      </c>
      <c r="C42" s="9">
        <f t="shared" si="24"/>
        <v>53906.408790000009</v>
      </c>
      <c r="D42" s="9">
        <f t="shared" si="24"/>
        <v>62119.069420000007</v>
      </c>
      <c r="E42" s="9">
        <f t="shared" si="24"/>
        <v>57852.288190000007</v>
      </c>
      <c r="F42" s="9">
        <f t="shared" si="24"/>
        <v>98914.25854000001</v>
      </c>
      <c r="G42" s="9">
        <f t="shared" si="24"/>
        <v>57874.809760000011</v>
      </c>
      <c r="H42" s="9">
        <f t="shared" si="24"/>
        <v>56303.295240000007</v>
      </c>
      <c r="I42" s="9">
        <f t="shared" si="24"/>
        <v>58018.248660000005</v>
      </c>
      <c r="J42" s="9">
        <f t="shared" si="24"/>
        <v>56342.475149999998</v>
      </c>
      <c r="K42" s="9">
        <f t="shared" si="24"/>
        <v>61760.431949999998</v>
      </c>
      <c r="L42" s="9">
        <f t="shared" si="24"/>
        <v>77477.369600000005</v>
      </c>
      <c r="M42" s="9">
        <f t="shared" si="24"/>
        <v>60390.245320000002</v>
      </c>
      <c r="N42" s="9">
        <f>SUM(B42:M42)</f>
        <v>768284.26889000006</v>
      </c>
    </row>
    <row r="43" spans="1:14" ht="23.25" customHeight="1" thickBot="1" x14ac:dyDescent="0.3">
      <c r="A43" s="3" t="s">
        <v>5</v>
      </c>
      <c r="B43" s="17">
        <f t="shared" ref="B43:N43" si="25">B17-B42</f>
        <v>2008.571729999996</v>
      </c>
      <c r="C43" s="17">
        <f t="shared" si="25"/>
        <v>8624.521209999999</v>
      </c>
      <c r="D43" s="17">
        <f t="shared" si="25"/>
        <v>4850.1705799999982</v>
      </c>
      <c r="E43" s="17">
        <f t="shared" si="25"/>
        <v>5339.7118100000007</v>
      </c>
      <c r="F43" s="17">
        <f t="shared" si="25"/>
        <v>-32408.61854000001</v>
      </c>
      <c r="G43" s="17">
        <f t="shared" si="25"/>
        <v>16846.400239999981</v>
      </c>
      <c r="H43" s="17">
        <f t="shared" si="25"/>
        <v>15224.514760000005</v>
      </c>
      <c r="I43" s="17">
        <f t="shared" si="25"/>
        <v>6901.7113399999944</v>
      </c>
      <c r="J43" s="17">
        <f t="shared" si="25"/>
        <v>10930.67485000001</v>
      </c>
      <c r="K43" s="17">
        <f t="shared" si="25"/>
        <v>7787.1080500000098</v>
      </c>
      <c r="L43" s="17">
        <f t="shared" si="25"/>
        <v>-11772.899600000004</v>
      </c>
      <c r="M43" s="17">
        <f t="shared" si="25"/>
        <v>9684.7146800000046</v>
      </c>
      <c r="N43" s="10">
        <f t="shared" si="25"/>
        <v>44016.581109999912</v>
      </c>
    </row>
    <row r="44" spans="1:14" ht="23.25" customHeight="1" thickBot="1" x14ac:dyDescent="0.3">
      <c r="A44" s="3" t="s">
        <v>7</v>
      </c>
      <c r="B44" s="13">
        <f t="shared" ref="B44:N44" si="26">B5+B43</f>
        <v>-798039.12826999999</v>
      </c>
      <c r="C44" s="13">
        <f t="shared" si="26"/>
        <v>-789414.60705999995</v>
      </c>
      <c r="D44" s="13">
        <f t="shared" si="26"/>
        <v>-784564.43647999992</v>
      </c>
      <c r="E44" s="13">
        <f t="shared" si="26"/>
        <v>-779224.72466999991</v>
      </c>
      <c r="F44" s="13">
        <f t="shared" si="26"/>
        <v>-811633.34320999996</v>
      </c>
      <c r="G44" s="13">
        <f t="shared" si="26"/>
        <v>-794786.94296999997</v>
      </c>
      <c r="H44" s="13">
        <f t="shared" si="26"/>
        <v>-779562.42820999993</v>
      </c>
      <c r="I44" s="13">
        <f t="shared" si="26"/>
        <v>-772660.71686999989</v>
      </c>
      <c r="J44" s="13">
        <f t="shared" si="26"/>
        <v>-761730.04201999982</v>
      </c>
      <c r="K44" s="13">
        <f t="shared" si="26"/>
        <v>-753942.93396999978</v>
      </c>
      <c r="L44" s="13">
        <f t="shared" si="26"/>
        <v>-765715.83356999978</v>
      </c>
      <c r="M44" s="13">
        <f t="shared" si="26"/>
        <v>-756031.11888999981</v>
      </c>
      <c r="N44" s="13">
        <f t="shared" si="26"/>
        <v>-756031.11889000004</v>
      </c>
    </row>
    <row r="45" spans="1:14" ht="24" customHeight="1" thickBot="1" x14ac:dyDescent="0.3">
      <c r="A45" s="14" t="s">
        <v>11</v>
      </c>
      <c r="B45" s="18">
        <f>B6+B17-B7</f>
        <v>-383128.24</v>
      </c>
      <c r="C45" s="18">
        <f t="shared" ref="C45:N45" si="27">C6+C17-C7</f>
        <v>-395329.64</v>
      </c>
      <c r="D45" s="18">
        <f t="shared" si="27"/>
        <v>-403371.72000000003</v>
      </c>
      <c r="E45" s="18">
        <f>E6+E17-E7</f>
        <v>-420789.01</v>
      </c>
      <c r="F45" s="18">
        <f t="shared" si="27"/>
        <v>-427485.69</v>
      </c>
      <c r="G45" s="18">
        <f t="shared" si="27"/>
        <v>-425966.8</v>
      </c>
      <c r="H45" s="18">
        <f t="shared" si="27"/>
        <v>-427641.31</v>
      </c>
      <c r="I45" s="18">
        <f t="shared" si="27"/>
        <v>-435901.32999999996</v>
      </c>
      <c r="J45" s="18">
        <f t="shared" si="27"/>
        <v>-443530.36999999994</v>
      </c>
      <c r="K45" s="18">
        <f t="shared" si="27"/>
        <v>-448045.16999999993</v>
      </c>
      <c r="L45" s="18">
        <f t="shared" si="27"/>
        <v>-457278.15999999992</v>
      </c>
      <c r="M45" s="18">
        <f t="shared" si="27"/>
        <v>-463878.21999999986</v>
      </c>
      <c r="N45" s="18">
        <f t="shared" si="27"/>
        <v>-463878.21999999986</v>
      </c>
    </row>
    <row r="46" spans="1:14" ht="19.5" hidden="1" customHeight="1" thickBot="1" x14ac:dyDescent="0.35">
      <c r="A46" s="25" t="s">
        <v>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  <c r="N46" s="21"/>
    </row>
    <row r="47" spans="1:14" ht="21.75" hidden="1" customHeight="1" thickBot="1" x14ac:dyDescent="0.35">
      <c r="A47" s="25" t="s">
        <v>11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22"/>
    </row>
  </sheetData>
  <mergeCells count="3">
    <mergeCell ref="A1:N1"/>
    <mergeCell ref="A46:M46"/>
    <mergeCell ref="A47:M47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2023-03-03T02:22:41Z</cp:lastPrinted>
  <dcterms:created xsi:type="dcterms:W3CDTF">2011-06-06T03:25:48Z</dcterms:created>
  <dcterms:modified xsi:type="dcterms:W3CDTF">2023-03-20T09:39:21Z</dcterms:modified>
</cp:coreProperties>
</file>