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N27" i="1" l="1"/>
  <c r="M35" i="1" l="1"/>
  <c r="L35" i="1" l="1"/>
  <c r="K35" i="1" l="1"/>
  <c r="M37" i="1" l="1"/>
  <c r="L37" i="1" l="1"/>
  <c r="M27" i="1" l="1"/>
  <c r="M16" i="1"/>
  <c r="M26" i="1"/>
  <c r="M8" i="1"/>
  <c r="K37" i="1" l="1"/>
  <c r="E37" i="1" l="1"/>
  <c r="L27" i="1" l="1"/>
  <c r="L16" i="1"/>
  <c r="L26" i="1"/>
  <c r="L8" i="1"/>
  <c r="K27" i="1" l="1"/>
  <c r="K16" i="1"/>
  <c r="K26" i="1"/>
  <c r="K8" i="1"/>
  <c r="L33" i="1" l="1"/>
  <c r="M33" i="1"/>
  <c r="K33" i="1"/>
  <c r="K28" i="1"/>
  <c r="L28" i="1"/>
  <c r="M28" i="1"/>
  <c r="K25" i="1"/>
  <c r="L25" i="1"/>
  <c r="M25" i="1"/>
  <c r="M24" i="1"/>
  <c r="L24" i="1"/>
  <c r="K24" i="1"/>
  <c r="J37" i="1" l="1"/>
  <c r="I37" i="1" l="1"/>
  <c r="I28" i="1" l="1"/>
  <c r="J28" i="1"/>
  <c r="H28" i="1"/>
  <c r="J27" i="1" l="1"/>
  <c r="J16" i="1"/>
  <c r="J26" i="1"/>
  <c r="J8" i="1"/>
  <c r="H33" i="1"/>
  <c r="I33" i="1"/>
  <c r="J33" i="1"/>
  <c r="H25" i="1"/>
  <c r="I25" i="1"/>
  <c r="J25" i="1"/>
  <c r="H24" i="1"/>
  <c r="I24" i="1"/>
  <c r="J24" i="1"/>
  <c r="C25" i="1"/>
  <c r="D25" i="1"/>
  <c r="E25" i="1"/>
  <c r="F25" i="1"/>
  <c r="G25" i="1"/>
  <c r="B25" i="1"/>
  <c r="C24" i="1"/>
  <c r="D24" i="1"/>
  <c r="E24" i="1"/>
  <c r="F24" i="1"/>
  <c r="G24" i="1"/>
  <c r="B24" i="1"/>
  <c r="G28" i="1"/>
  <c r="I27" i="1" l="1"/>
  <c r="I16" i="1"/>
  <c r="I26" i="1"/>
  <c r="I8" i="1"/>
  <c r="H27" i="1" l="1"/>
  <c r="H16" i="1"/>
  <c r="H26" i="1"/>
  <c r="H8" i="1"/>
  <c r="G37" i="1" l="1"/>
  <c r="F29" i="1" l="1"/>
  <c r="F35" i="1" l="1"/>
  <c r="E35" i="1" l="1"/>
  <c r="G27" i="1" l="1"/>
  <c r="G16" i="1"/>
  <c r="G26" i="1"/>
  <c r="G8" i="1"/>
  <c r="F37" i="1" l="1"/>
  <c r="F27" i="1" l="1"/>
  <c r="F16" i="1"/>
  <c r="F26" i="1"/>
  <c r="F8" i="1"/>
  <c r="E27" i="1" l="1"/>
  <c r="E16" i="1"/>
  <c r="E26" i="1"/>
  <c r="E8" i="1"/>
  <c r="E33" i="1" l="1"/>
  <c r="F33" i="1"/>
  <c r="G33" i="1"/>
  <c r="E28" i="1"/>
  <c r="F28" i="1"/>
  <c r="D37" i="1" l="1"/>
  <c r="D35" i="1" l="1"/>
  <c r="C35" i="1" l="1"/>
  <c r="B35" i="1" l="1"/>
  <c r="D16" i="1" l="1"/>
  <c r="D26" i="1"/>
  <c r="D8" i="1"/>
  <c r="C33" i="1"/>
  <c r="D33" i="1"/>
  <c r="B33" i="1"/>
  <c r="C28" i="1"/>
  <c r="D28" i="1"/>
  <c r="B28" i="1"/>
  <c r="B37" i="1" l="1"/>
  <c r="C27" i="1" l="1"/>
  <c r="C16" i="1"/>
  <c r="C26" i="1"/>
  <c r="C8" i="1"/>
  <c r="B27" i="1" l="1"/>
  <c r="B16" i="1"/>
  <c r="B26" i="1"/>
  <c r="B8" i="1"/>
  <c r="G15" i="1" l="1"/>
  <c r="N14" i="1" l="1"/>
  <c r="N8" i="1" l="1"/>
  <c r="H15" i="1"/>
  <c r="N37" i="1" l="1"/>
  <c r="N25" i="1"/>
  <c r="N26" i="1"/>
  <c r="N28" i="1"/>
  <c r="N29" i="1"/>
  <c r="N30" i="1"/>
  <c r="N31" i="1"/>
  <c r="N32" i="1"/>
  <c r="N33" i="1"/>
  <c r="N34" i="1"/>
  <c r="N35" i="1"/>
  <c r="N36" i="1"/>
  <c r="N24" i="1"/>
  <c r="N17" i="1"/>
  <c r="N18" i="1"/>
  <c r="N19" i="1"/>
  <c r="N20" i="1"/>
  <c r="N21" i="1"/>
  <c r="N22" i="1"/>
  <c r="N16" i="1"/>
  <c r="I15" i="1"/>
  <c r="J15" i="1"/>
  <c r="G38" i="1" l="1"/>
  <c r="G39" i="1" s="1"/>
  <c r="N13" i="1"/>
  <c r="N6" i="1" l="1"/>
  <c r="N5" i="1"/>
  <c r="N9" i="1"/>
  <c r="L15" i="1" l="1"/>
  <c r="L7" i="1"/>
  <c r="K15" i="1"/>
  <c r="K7" i="1"/>
  <c r="M15" i="1"/>
  <c r="M7" i="1"/>
  <c r="N10" i="1"/>
  <c r="N12" i="1"/>
  <c r="N11" i="1"/>
  <c r="M38" i="1" l="1"/>
  <c r="M39" i="1" s="1"/>
  <c r="L38" i="1"/>
  <c r="L39" i="1" s="1"/>
  <c r="K38" i="1"/>
  <c r="K39" i="1" l="1"/>
  <c r="I38" i="1"/>
  <c r="I39" i="1" s="1"/>
  <c r="J38" i="1"/>
  <c r="J39" i="1" s="1"/>
  <c r="H7" i="1"/>
  <c r="I7" i="1"/>
  <c r="J7" i="1"/>
  <c r="G7" i="1"/>
  <c r="F15" i="1"/>
  <c r="F7" i="1"/>
  <c r="E15" i="1"/>
  <c r="E7" i="1"/>
  <c r="F38" i="1" l="1"/>
  <c r="F39" i="1" s="1"/>
  <c r="E38" i="1"/>
  <c r="E39" i="1" s="1"/>
  <c r="D15" i="1"/>
  <c r="D7" i="1"/>
  <c r="C15" i="1"/>
  <c r="C7" i="1"/>
  <c r="B15" i="1"/>
  <c r="B7" i="1"/>
  <c r="N7" i="1" l="1"/>
  <c r="N15" i="1"/>
  <c r="D38" i="1"/>
  <c r="D39" i="1" s="1"/>
  <c r="C38" i="1"/>
  <c r="C39" i="1" s="1"/>
  <c r="B38" i="1"/>
  <c r="H38" i="1"/>
  <c r="H39" i="1" s="1"/>
  <c r="B41" i="1"/>
  <c r="C6" i="1" s="1"/>
  <c r="C41" i="1" s="1"/>
  <c r="N41" i="1" l="1"/>
  <c r="N38" i="1"/>
  <c r="N39" i="1" s="1"/>
  <c r="N40" i="1" s="1"/>
  <c r="D6" i="1"/>
  <c r="D41" i="1" s="1"/>
  <c r="E6" i="1" l="1"/>
  <c r="E41" i="1" s="1"/>
  <c r="B39" i="1"/>
  <c r="B40" i="1" s="1"/>
  <c r="F6" i="1" l="1"/>
  <c r="C5" i="1"/>
  <c r="C40" i="1" l="1"/>
  <c r="D5" i="1" s="1"/>
  <c r="D40" i="1" s="1"/>
  <c r="E5" i="1" s="1"/>
  <c r="E40" i="1" s="1"/>
  <c r="F41" i="1"/>
  <c r="G6" i="1" s="1"/>
  <c r="G41" i="1" s="1"/>
  <c r="H6" i="1" s="1"/>
  <c r="H41" i="1" s="1"/>
  <c r="F5" i="1" l="1"/>
  <c r="I6" i="1"/>
  <c r="I41" i="1" s="1"/>
  <c r="F40" i="1" l="1"/>
  <c r="G5" i="1" s="1"/>
  <c r="G40" i="1" s="1"/>
  <c r="H5" i="1" s="1"/>
  <c r="H40" i="1" s="1"/>
  <c r="J6" i="1"/>
  <c r="J41" i="1" s="1"/>
  <c r="K6" i="1" l="1"/>
  <c r="K41" i="1" s="1"/>
  <c r="I5" i="1"/>
  <c r="I40" i="1" s="1"/>
  <c r="L6" i="1" l="1"/>
  <c r="L41" i="1" s="1"/>
  <c r="J5" i="1"/>
  <c r="J40" i="1" s="1"/>
  <c r="M6" i="1" l="1"/>
  <c r="M41" i="1" s="1"/>
  <c r="K5" i="1"/>
  <c r="K40" i="1" s="1"/>
  <c r="L5" i="1" l="1"/>
  <c r="L40" i="1" s="1"/>
  <c r="M5" i="1" l="1"/>
  <c r="M40" i="1" s="1"/>
</calcChain>
</file>

<file path=xl/sharedStrings.xml><?xml version="1.0" encoding="utf-8"?>
<sst xmlns="http://schemas.openxmlformats.org/spreadsheetml/2006/main" count="52" uniqueCount="44">
  <si>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</si>
  <si>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</si>
  <si>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</si>
  <si>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</si>
  <si>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</si>
  <si>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</si>
  <si>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</si>
  <si>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</si>
  <si>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</si>
  <si>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</si>
  <si>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</si>
  <si>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</si>
  <si>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</si>
  <si>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</si>
  <si>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</si>
  <si>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</si>
  <si>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</si>
  <si>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</si>
  <si>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</si>
  <si>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</si>
  <si>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</si>
  <si>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</si>
  <si>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</si>
  <si>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</si>
  <si>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</si>
  <si>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</si>
  <si>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>Тех.обслуживание узла учета тепловой энергии</t>
  </si>
  <si>
    <t>Содержание жилья и текущий ремонт,  ОПУ /нежилые</t>
  </si>
  <si>
    <t xml:space="preserve">Содержание жилья и текущий ремонт,  ОПУ </t>
  </si>
  <si>
    <t>Расходы на общедомовые нужды</t>
  </si>
  <si>
    <t>Январь 2022г.</t>
  </si>
  <si>
    <t>Февраль 2022г.</t>
  </si>
  <si>
    <t>Март 2022г.</t>
  </si>
  <si>
    <t>Апрель 2022г.</t>
  </si>
  <si>
    <t>Май 2022г.</t>
  </si>
  <si>
    <t>Июнь 2022г.</t>
  </si>
  <si>
    <t>Июль 2022г</t>
  </si>
  <si>
    <t>Август 2022г</t>
  </si>
  <si>
    <t>Сентябрь 2022г</t>
  </si>
  <si>
    <t>Октябрь 2022г.</t>
  </si>
  <si>
    <t>Ноябрь 2022г.</t>
  </si>
  <si>
    <t>Декабрь 2022г</t>
  </si>
  <si>
    <t>Всего:                       за  2022г</t>
  </si>
  <si>
    <t xml:space="preserve">  ОТЧЕТ по дому Васильева, 40 за период 01.01.2022г. по 31.12.2022г.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</si>
</sst>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6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Border="1"/>
    <xf numFmtId="0" fontId="4" fillId="0" borderId="3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164" fontId="5" fillId="2" borderId="4" xfId="0" applyNumberFormat="1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vertical="top" wrapText="1"/>
    </xf>
    <xf numFmtId="164" fontId="5" fillId="3" borderId="4" xfId="0" applyNumberFormat="1" applyFont="1" applyFill="1" applyBorder="1" applyAlignment="1">
      <alignment horizontal="left" vertical="top" wrapText="1"/>
    </xf>
    <xf numFmtId="164" fontId="4" fillId="0" borderId="4" xfId="0" applyNumberFormat="1" applyFont="1" applyBorder="1" applyAlignment="1">
      <alignment horizontal="left" vertical="top" wrapText="1"/>
    </xf>
    <xf numFmtId="0" fontId="5" fillId="4" borderId="3" xfId="0" applyFont="1" applyFill="1" applyBorder="1" applyAlignment="1">
      <alignment vertical="top" wrapText="1"/>
    </xf>
    <xf numFmtId="164" fontId="5" fillId="4" borderId="4" xfId="0" applyNumberFormat="1" applyFont="1" applyFill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164" fontId="5" fillId="0" borderId="5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4" fillId="0" borderId="6" xfId="0" applyNumberFormat="1" applyFont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0" fillId="0" borderId="0" xfId="0" applyAlignment="1"/>
    <xf numFmtId="164" fontId="4" fillId="0" borderId="4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tabSelected="1" topLeftCell="B10" zoomScale="75" workbookViewId="0">
      <selection activeCell="N27" sqref="N27"/>
    </sheetView>
  </sheetViews>
  <sheetFormatPr defaultRowHeight="13.2" x14ac:dyDescent="0.25"/>
  <cols>
    <col min="1" max="1" width="58" customWidth="1"/>
    <col min="2" max="2" width="14.5546875" customWidth="1"/>
    <col min="3" max="3" width="14.77734375" customWidth="1"/>
    <col min="4" max="4" width="16.109375" customWidth="1"/>
    <col min="5" max="5" width="14.33203125" customWidth="1"/>
    <col min="6" max="6" width="13.88671875" customWidth="1"/>
    <col min="7" max="7" width="16.5546875" customWidth="1"/>
    <col min="8" max="8" width="13.33203125" customWidth="1"/>
    <col min="9" max="9" width="13.6640625" customWidth="1"/>
    <col min="10" max="15" width="14.44140625" customWidth="1"/>
  </cols>
  <sheetData>
    <row r="1" spans="1:17" ht="20.25" customHeight="1" x14ac:dyDescent="0.4">
      <c r="A1" s="21" t="s">
        <v>43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19"/>
      <c r="P1" s="19"/>
      <c r="Q1" s="19"/>
    </row>
    <row r="2" spans="1:17" ht="7.5" customHeight="1" thickBot="1" x14ac:dyDescent="0.3">
      <c r="A2" s="1"/>
    </row>
    <row r="3" spans="1:17" ht="3" hidden="1" customHeight="1" thickBot="1" x14ac:dyDescent="0.3">
      <c r="A3" s="1"/>
    </row>
    <row r="4" spans="1:17" ht="38.25" customHeight="1" thickBot="1" x14ac:dyDescent="0.3">
      <c r="A4" s="4" t="s">
        <v>0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  <c r="I4" s="5" t="s">
        <v>37</v>
      </c>
      <c r="J4" s="5" t="s">
        <v>38</v>
      </c>
      <c r="K4" s="5" t="s">
        <v>39</v>
      </c>
      <c r="L4" s="5" t="s">
        <v>40</v>
      </c>
      <c r="M4" s="5" t="s">
        <v>41</v>
      </c>
      <c r="N4" s="5" t="s">
        <v>42</v>
      </c>
    </row>
    <row r="5" spans="1:17" ht="23.25" customHeight="1" thickBot="1" x14ac:dyDescent="0.3">
      <c r="A5" s="6" t="s">
        <v>16</v>
      </c>
      <c r="B5" s="7">
        <v>-974181.97</v>
      </c>
      <c r="C5" s="7">
        <f t="shared" ref="C5:D6" si="0">B40</f>
        <v>-988001.77911999996</v>
      </c>
      <c r="D5" s="7">
        <f t="shared" si="0"/>
        <v>-1006588.09028</v>
      </c>
      <c r="E5" s="7">
        <f t="shared" ref="E5:G6" si="1">D40</f>
        <v>-672681.63509999996</v>
      </c>
      <c r="F5" s="7">
        <f t="shared" si="1"/>
        <v>-696840.18192</v>
      </c>
      <c r="G5" s="7">
        <f t="shared" si="1"/>
        <v>-739247.45022999996</v>
      </c>
      <c r="H5" s="7">
        <f t="shared" ref="H5:H6" si="2">G40</f>
        <v>-793213.80147999991</v>
      </c>
      <c r="I5" s="7">
        <f t="shared" ref="I5:I6" si="3">H40</f>
        <v>-801120.24347999995</v>
      </c>
      <c r="J5" s="7">
        <f t="shared" ref="J5:J6" si="4">I40</f>
        <v>-810939.12793999992</v>
      </c>
      <c r="K5" s="7">
        <f t="shared" ref="K5:K6" si="5">J40</f>
        <v>-848125.78557999991</v>
      </c>
      <c r="L5" s="7">
        <f t="shared" ref="L5:L6" si="6">K40</f>
        <v>-866522.47236999986</v>
      </c>
      <c r="M5" s="7">
        <f t="shared" ref="M5:M6" si="7">L40</f>
        <v>-910315.91675999982</v>
      </c>
      <c r="N5" s="7">
        <f>B5</f>
        <v>-974181.97</v>
      </c>
    </row>
    <row r="6" spans="1:17" ht="21" customHeight="1" thickBot="1" x14ac:dyDescent="0.3">
      <c r="A6" s="6" t="s">
        <v>13</v>
      </c>
      <c r="B6" s="7">
        <v>-725832.46</v>
      </c>
      <c r="C6" s="7">
        <f t="shared" si="0"/>
        <v>-757004.45</v>
      </c>
      <c r="D6" s="7">
        <f t="shared" si="0"/>
        <v>-794392.21</v>
      </c>
      <c r="E6" s="7">
        <f t="shared" si="1"/>
        <v>-463650.27999999991</v>
      </c>
      <c r="F6" s="7">
        <f t="shared" si="1"/>
        <v>-494342.21999999986</v>
      </c>
      <c r="G6" s="7">
        <f t="shared" si="1"/>
        <v>-530295.97999999986</v>
      </c>
      <c r="H6" s="7">
        <f t="shared" si="2"/>
        <v>-565084.87999999989</v>
      </c>
      <c r="I6" s="7">
        <f t="shared" si="3"/>
        <v>-590958.2699999999</v>
      </c>
      <c r="J6" s="7">
        <f t="shared" si="4"/>
        <v>-601688.84999999986</v>
      </c>
      <c r="K6" s="7">
        <f t="shared" si="5"/>
        <v>-634621.48999999987</v>
      </c>
      <c r="L6" s="7">
        <f t="shared" si="6"/>
        <v>-677440.09</v>
      </c>
      <c r="M6" s="7">
        <f t="shared" si="7"/>
        <v>-713695.27</v>
      </c>
      <c r="N6" s="7">
        <f>B6</f>
        <v>-725832.46</v>
      </c>
    </row>
    <row r="7" spans="1:17" ht="20.25" customHeight="1" thickBot="1" x14ac:dyDescent="0.3">
      <c r="A7" s="8" t="s">
        <v>12</v>
      </c>
      <c r="B7" s="9">
        <f t="shared" ref="B7:M7" si="8">SUM(B8:B14)</f>
        <v>73138.94</v>
      </c>
      <c r="C7" s="9">
        <f t="shared" si="8"/>
        <v>73144.320000000007</v>
      </c>
      <c r="D7" s="9">
        <f t="shared" si="8"/>
        <v>73144.34</v>
      </c>
      <c r="E7" s="9">
        <f t="shared" si="8"/>
        <v>73144.34</v>
      </c>
      <c r="F7" s="9">
        <f t="shared" si="8"/>
        <v>73220.87</v>
      </c>
      <c r="G7" s="9">
        <f t="shared" si="8"/>
        <v>97230.249999999985</v>
      </c>
      <c r="H7" s="9">
        <f t="shared" si="8"/>
        <v>77747.899999999994</v>
      </c>
      <c r="I7" s="9">
        <f t="shared" si="8"/>
        <v>73138.62000000001</v>
      </c>
      <c r="J7" s="9">
        <f t="shared" si="8"/>
        <v>72909.280000000013</v>
      </c>
      <c r="K7" s="9">
        <f t="shared" si="8"/>
        <v>86973.430000000008</v>
      </c>
      <c r="L7" s="9">
        <f t="shared" si="8"/>
        <v>86973.430000000008</v>
      </c>
      <c r="M7" s="9">
        <f t="shared" si="8"/>
        <v>93587.37</v>
      </c>
      <c r="N7" s="9">
        <f>SUM(B7:M7)</f>
        <v>954353.09000000008</v>
      </c>
    </row>
    <row r="8" spans="1:17" ht="24.75" customHeight="1" thickBot="1" x14ac:dyDescent="0.3">
      <c r="A8" s="3" t="s">
        <v>28</v>
      </c>
      <c r="B8" s="10">
        <f>70889.68+1214.06</f>
        <v>72103.739999999991</v>
      </c>
      <c r="C8" s="10">
        <f t="shared" ref="C8:H8" si="9">70894.94+1214.2</f>
        <v>72109.14</v>
      </c>
      <c r="D8" s="10">
        <f t="shared" si="9"/>
        <v>72109.14</v>
      </c>
      <c r="E8" s="10">
        <f t="shared" si="9"/>
        <v>72109.14</v>
      </c>
      <c r="F8" s="10">
        <f t="shared" si="9"/>
        <v>72109.14</v>
      </c>
      <c r="G8" s="10">
        <f t="shared" si="9"/>
        <v>72109.14</v>
      </c>
      <c r="H8" s="10">
        <f t="shared" si="9"/>
        <v>72109.14</v>
      </c>
      <c r="I8" s="10">
        <f>70894.94+9528.91-8558.84</f>
        <v>71865.010000000009</v>
      </c>
      <c r="J8" s="10">
        <f>70894.94+970.07</f>
        <v>71865.010000000009</v>
      </c>
      <c r="K8" s="10">
        <f>85041.59+970.07</f>
        <v>86011.66</v>
      </c>
      <c r="L8" s="10">
        <f>85041.59+970.07</f>
        <v>86011.66</v>
      </c>
      <c r="M8" s="10">
        <f>85041.59+970.07</f>
        <v>86011.66</v>
      </c>
      <c r="N8" s="10">
        <f>SUM(B8:M8)</f>
        <v>906523.58000000019</v>
      </c>
    </row>
    <row r="9" spans="1:17" ht="24.75" hidden="1" customHeight="1" thickBot="1" x14ac:dyDescent="0.3">
      <c r="A9" s="3" t="s">
        <v>27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>
        <f t="shared" ref="N9:N12" si="10">SUM(B9:M9)</f>
        <v>0</v>
      </c>
    </row>
    <row r="10" spans="1:17" ht="24.75" customHeight="1" thickBot="1" x14ac:dyDescent="0.3">
      <c r="A10" s="3" t="s">
        <v>17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19891.87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f t="shared" si="10"/>
        <v>19891.87</v>
      </c>
    </row>
    <row r="11" spans="1:17" ht="24.6" customHeight="1" thickBot="1" x14ac:dyDescent="0.3">
      <c r="A11" s="3" t="s">
        <v>18</v>
      </c>
      <c r="B11" s="10">
        <v>238.35</v>
      </c>
      <c r="C11" s="10">
        <v>238.35</v>
      </c>
      <c r="D11" s="10">
        <v>238.37</v>
      </c>
      <c r="E11" s="10">
        <v>238.37</v>
      </c>
      <c r="F11" s="10">
        <v>238.37</v>
      </c>
      <c r="G11" s="10">
        <v>238.37</v>
      </c>
      <c r="H11" s="10">
        <v>238.37</v>
      </c>
      <c r="I11" s="10">
        <v>247.44</v>
      </c>
      <c r="J11" s="10">
        <v>247.44</v>
      </c>
      <c r="K11" s="10">
        <v>164.94</v>
      </c>
      <c r="L11" s="10">
        <v>164.94</v>
      </c>
      <c r="M11" s="10">
        <v>164.9</v>
      </c>
      <c r="N11" s="10">
        <f t="shared" si="10"/>
        <v>2658.21</v>
      </c>
    </row>
    <row r="12" spans="1:17" ht="22.5" customHeight="1" thickBot="1" x14ac:dyDescent="0.3">
      <c r="A12" s="3" t="s">
        <v>19</v>
      </c>
      <c r="B12" s="10">
        <v>0</v>
      </c>
      <c r="C12" s="10">
        <v>0</v>
      </c>
      <c r="D12" s="10">
        <v>0</v>
      </c>
      <c r="E12" s="10">
        <v>0</v>
      </c>
      <c r="F12" s="10">
        <v>76.53</v>
      </c>
      <c r="G12" s="10">
        <v>4194.04</v>
      </c>
      <c r="H12" s="10">
        <v>4603.5600000000004</v>
      </c>
      <c r="I12" s="10">
        <v>229.34</v>
      </c>
      <c r="J12" s="10">
        <v>0</v>
      </c>
      <c r="K12" s="10">
        <v>0</v>
      </c>
      <c r="L12" s="10">
        <v>0</v>
      </c>
      <c r="M12" s="10">
        <v>6509.87</v>
      </c>
      <c r="N12" s="10">
        <f t="shared" si="10"/>
        <v>15613.34</v>
      </c>
    </row>
    <row r="13" spans="1:17" ht="22.5" customHeight="1" thickBot="1" x14ac:dyDescent="0.3">
      <c r="A13" s="3" t="s">
        <v>25</v>
      </c>
      <c r="B13" s="10">
        <v>326.85000000000002</v>
      </c>
      <c r="C13" s="10">
        <v>326.83</v>
      </c>
      <c r="D13" s="10">
        <v>326.83</v>
      </c>
      <c r="E13" s="10">
        <v>326.83</v>
      </c>
      <c r="F13" s="10">
        <v>326.83</v>
      </c>
      <c r="G13" s="10">
        <v>326.83</v>
      </c>
      <c r="H13" s="10">
        <v>326.83</v>
      </c>
      <c r="I13" s="10">
        <v>326.83</v>
      </c>
      <c r="J13" s="10">
        <v>326.83</v>
      </c>
      <c r="K13" s="10">
        <v>326.83</v>
      </c>
      <c r="L13" s="10">
        <v>326.83</v>
      </c>
      <c r="M13" s="10">
        <v>430.94</v>
      </c>
      <c r="N13" s="10">
        <f>SUM(B13:M13)</f>
        <v>4026.0899999999997</v>
      </c>
    </row>
    <row r="14" spans="1:17" ht="24" customHeight="1" thickBot="1" x14ac:dyDescent="0.3">
      <c r="A14" s="3" t="s">
        <v>15</v>
      </c>
      <c r="B14" s="10">
        <v>470</v>
      </c>
      <c r="C14" s="10">
        <v>470</v>
      </c>
      <c r="D14" s="10">
        <v>470</v>
      </c>
      <c r="E14" s="10">
        <v>470</v>
      </c>
      <c r="F14" s="10">
        <v>470</v>
      </c>
      <c r="G14" s="10">
        <v>470</v>
      </c>
      <c r="H14" s="10">
        <v>470</v>
      </c>
      <c r="I14" s="10">
        <v>470</v>
      </c>
      <c r="J14" s="10">
        <v>470</v>
      </c>
      <c r="K14" s="10">
        <v>470</v>
      </c>
      <c r="L14" s="10">
        <v>470</v>
      </c>
      <c r="M14" s="10">
        <v>470</v>
      </c>
      <c r="N14" s="10">
        <f>SUM(B14:M14)</f>
        <v>5640</v>
      </c>
    </row>
    <row r="15" spans="1:17" ht="20.25" customHeight="1" thickBot="1" x14ac:dyDescent="0.3">
      <c r="A15" s="11" t="s">
        <v>8</v>
      </c>
      <c r="B15" s="12">
        <f t="shared" ref="B15:M15" si="11">SUM(B16:B22)</f>
        <v>41966.95</v>
      </c>
      <c r="C15" s="12">
        <f t="shared" si="11"/>
        <v>35756.559999999998</v>
      </c>
      <c r="D15" s="12">
        <f t="shared" si="11"/>
        <v>403886.27</v>
      </c>
      <c r="E15" s="12">
        <f t="shared" si="11"/>
        <v>42452.4</v>
      </c>
      <c r="F15" s="12">
        <f t="shared" si="11"/>
        <v>37267.11</v>
      </c>
      <c r="G15" s="12">
        <f t="shared" si="11"/>
        <v>62441.35</v>
      </c>
      <c r="H15" s="12">
        <f>SUM(H16:H22)</f>
        <v>51874.51</v>
      </c>
      <c r="I15" s="12">
        <f t="shared" si="11"/>
        <v>62408.040000000023</v>
      </c>
      <c r="J15" s="12">
        <f t="shared" si="11"/>
        <v>39976.639999999992</v>
      </c>
      <c r="K15" s="12">
        <f t="shared" si="11"/>
        <v>44154.829999999994</v>
      </c>
      <c r="L15" s="12">
        <f t="shared" si="11"/>
        <v>50718.25</v>
      </c>
      <c r="M15" s="12">
        <f t="shared" si="11"/>
        <v>50569.909999999996</v>
      </c>
      <c r="N15" s="12">
        <f>SUM(B15:M15)</f>
        <v>923472.82000000007</v>
      </c>
    </row>
    <row r="16" spans="1:17" ht="24" customHeight="1" thickBot="1" x14ac:dyDescent="0.3">
      <c r="A16" s="3" t="s">
        <v>28</v>
      </c>
      <c r="B16" s="10">
        <f>40560.98+966.85</f>
        <v>41527.83</v>
      </c>
      <c r="C16" s="10">
        <f>34349.67+1006</f>
        <v>35355.67</v>
      </c>
      <c r="D16" s="10">
        <f>399880.78+1055.89</f>
        <v>400936.67000000004</v>
      </c>
      <c r="E16" s="10">
        <f>40902.92+1+1092.64</f>
        <v>41996.56</v>
      </c>
      <c r="F16" s="10">
        <f>35778+976.77</f>
        <v>36754.769999999997</v>
      </c>
      <c r="G16" s="10">
        <f>34282.61-171.66+1145.5</f>
        <v>35256.449999999997</v>
      </c>
      <c r="H16" s="10">
        <f>33037.63+999.01</f>
        <v>34036.639999999999</v>
      </c>
      <c r="I16" s="10">
        <f>86543.07+447.32+2056.96+309.94</f>
        <v>89357.290000000023</v>
      </c>
      <c r="J16" s="10">
        <f>38082.57+684.46</f>
        <v>38767.03</v>
      </c>
      <c r="K16" s="10">
        <f>42596.5+628.31</f>
        <v>43224.81</v>
      </c>
      <c r="L16" s="10">
        <f>49640.06+514.47</f>
        <v>50154.53</v>
      </c>
      <c r="M16" s="10">
        <f>49485.47+521.83</f>
        <v>50007.3</v>
      </c>
      <c r="N16" s="10">
        <f>SUM(B16:M16)</f>
        <v>897375.55</v>
      </c>
    </row>
    <row r="17" spans="1:15" ht="24" hidden="1" customHeight="1" thickBot="1" x14ac:dyDescent="0.3">
      <c r="A17" s="3" t="s">
        <v>27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>
        <f t="shared" ref="N17:N22" si="12">SUM(B17:M17)</f>
        <v>0</v>
      </c>
    </row>
    <row r="18" spans="1:15" ht="26.25" customHeight="1" thickBot="1" x14ac:dyDescent="0.3">
      <c r="A18" s="3" t="s">
        <v>17</v>
      </c>
      <c r="B18" s="10">
        <v>45.35</v>
      </c>
      <c r="C18" s="10">
        <v>23.17</v>
      </c>
      <c r="D18" s="10">
        <v>932.37</v>
      </c>
      <c r="E18" s="10">
        <v>25.01</v>
      </c>
      <c r="F18" s="10">
        <v>0</v>
      </c>
      <c r="G18" s="10">
        <v>26274.16</v>
      </c>
      <c r="H18" s="10">
        <v>9909.82</v>
      </c>
      <c r="I18" s="10">
        <v>-24082.27</v>
      </c>
      <c r="J18" s="10">
        <v>109.7</v>
      </c>
      <c r="K18" s="10">
        <v>303.11</v>
      </c>
      <c r="L18" s="10">
        <v>99.92</v>
      </c>
      <c r="M18" s="10">
        <v>49.71</v>
      </c>
      <c r="N18" s="10">
        <f t="shared" si="12"/>
        <v>13690.050000000005</v>
      </c>
    </row>
    <row r="19" spans="1:15" ht="26.25" customHeight="1" thickBot="1" x14ac:dyDescent="0.3">
      <c r="A19" s="3" t="s">
        <v>18</v>
      </c>
      <c r="B19" s="10">
        <v>121.28</v>
      </c>
      <c r="C19" s="10">
        <v>116.33</v>
      </c>
      <c r="D19" s="10">
        <v>637.17999999999995</v>
      </c>
      <c r="E19" s="10">
        <v>137.47</v>
      </c>
      <c r="F19" s="10">
        <v>120.4</v>
      </c>
      <c r="G19" s="10">
        <v>207.03</v>
      </c>
      <c r="H19" s="10">
        <v>129.37</v>
      </c>
      <c r="I19" s="10">
        <v>-195.49</v>
      </c>
      <c r="J19" s="10">
        <v>132.51</v>
      </c>
      <c r="K19" s="10">
        <v>148.27000000000001</v>
      </c>
      <c r="L19" s="10">
        <v>106.8</v>
      </c>
      <c r="M19" s="10">
        <v>99.2</v>
      </c>
      <c r="N19" s="10">
        <f t="shared" si="12"/>
        <v>1760.35</v>
      </c>
    </row>
    <row r="20" spans="1:15" ht="24" customHeight="1" thickBot="1" x14ac:dyDescent="0.3">
      <c r="A20" s="3" t="s">
        <v>19</v>
      </c>
      <c r="B20" s="10">
        <v>6.15</v>
      </c>
      <c r="C20" s="10">
        <v>1.84</v>
      </c>
      <c r="D20" s="10">
        <v>455.45</v>
      </c>
      <c r="E20" s="10">
        <v>4.78</v>
      </c>
      <c r="F20" s="10">
        <v>127.48</v>
      </c>
      <c r="G20" s="10">
        <v>442.27</v>
      </c>
      <c r="H20" s="10">
        <v>7546.33</v>
      </c>
      <c r="I20" s="10">
        <v>-2648.66</v>
      </c>
      <c r="J20" s="10">
        <v>271.77</v>
      </c>
      <c r="K20" s="10">
        <v>182.22</v>
      </c>
      <c r="L20" s="10">
        <v>60.67</v>
      </c>
      <c r="M20" s="10">
        <v>120.32</v>
      </c>
      <c r="N20" s="10">
        <f t="shared" si="12"/>
        <v>6570.62</v>
      </c>
    </row>
    <row r="21" spans="1:15" ht="24" customHeight="1" thickBot="1" x14ac:dyDescent="0.3">
      <c r="A21" s="3" t="s">
        <v>25</v>
      </c>
      <c r="B21" s="10">
        <v>166.34</v>
      </c>
      <c r="C21" s="10">
        <v>159.55000000000001</v>
      </c>
      <c r="D21" s="10">
        <v>824.6</v>
      </c>
      <c r="E21" s="10">
        <v>188.58</v>
      </c>
      <c r="F21" s="10">
        <v>164.46</v>
      </c>
      <c r="G21" s="10">
        <v>161.44</v>
      </c>
      <c r="H21" s="10">
        <v>152.35</v>
      </c>
      <c r="I21" s="10">
        <v>-122.83</v>
      </c>
      <c r="J21" s="10">
        <v>175.63</v>
      </c>
      <c r="K21" s="10">
        <v>196.42</v>
      </c>
      <c r="L21" s="10">
        <v>196.33</v>
      </c>
      <c r="M21" s="10">
        <v>193.38</v>
      </c>
      <c r="N21" s="10">
        <f t="shared" si="12"/>
        <v>2456.25</v>
      </c>
    </row>
    <row r="22" spans="1:15" ht="21" customHeight="1" thickBot="1" x14ac:dyDescent="0.3">
      <c r="A22" s="3" t="s">
        <v>15</v>
      </c>
      <c r="B22" s="13">
        <v>100</v>
      </c>
      <c r="C22" s="13">
        <v>100</v>
      </c>
      <c r="D22" s="13">
        <v>100</v>
      </c>
      <c r="E22" s="13">
        <v>100</v>
      </c>
      <c r="F22" s="13">
        <v>100</v>
      </c>
      <c r="G22" s="13">
        <v>100</v>
      </c>
      <c r="H22" s="13">
        <v>100</v>
      </c>
      <c r="I22" s="13">
        <v>100</v>
      </c>
      <c r="J22" s="13">
        <v>520</v>
      </c>
      <c r="K22" s="10">
        <v>100</v>
      </c>
      <c r="L22" s="10">
        <v>100</v>
      </c>
      <c r="M22" s="10">
        <v>100</v>
      </c>
      <c r="N22" s="10">
        <f t="shared" si="12"/>
        <v>1620</v>
      </c>
      <c r="O22" s="2"/>
    </row>
    <row r="23" spans="1:15" ht="21.75" customHeight="1" thickBot="1" x14ac:dyDescent="0.3">
      <c r="A23" s="14" t="s">
        <v>24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6"/>
    </row>
    <row r="24" spans="1:15" ht="24" customHeight="1" thickBot="1" x14ac:dyDescent="0.3">
      <c r="A24" s="3" t="s">
        <v>1</v>
      </c>
      <c r="B24" s="10">
        <f>4041.9*0.55</f>
        <v>2223.0450000000001</v>
      </c>
      <c r="C24" s="10">
        <f t="shared" ref="C24:K24" si="13">4041.9*0.55</f>
        <v>2223.0450000000001</v>
      </c>
      <c r="D24" s="10">
        <f t="shared" si="13"/>
        <v>2223.0450000000001</v>
      </c>
      <c r="E24" s="10">
        <f t="shared" si="13"/>
        <v>2223.0450000000001</v>
      </c>
      <c r="F24" s="10">
        <f t="shared" si="13"/>
        <v>2223.0450000000001</v>
      </c>
      <c r="G24" s="10">
        <f t="shared" si="13"/>
        <v>2223.0450000000001</v>
      </c>
      <c r="H24" s="10">
        <f t="shared" si="13"/>
        <v>2223.0450000000001</v>
      </c>
      <c r="I24" s="10">
        <f t="shared" si="13"/>
        <v>2223.0450000000001</v>
      </c>
      <c r="J24" s="10">
        <f t="shared" si="13"/>
        <v>2223.0450000000001</v>
      </c>
      <c r="K24" s="10">
        <f t="shared" si="13"/>
        <v>2223.0450000000001</v>
      </c>
      <c r="L24" s="10">
        <f>4041.9*0.6</f>
        <v>2425.14</v>
      </c>
      <c r="M24" s="10">
        <f>4041.9*0.6</f>
        <v>2425.14</v>
      </c>
      <c r="N24" s="10">
        <f>SUM(B24:M24)</f>
        <v>27080.729999999996</v>
      </c>
    </row>
    <row r="25" spans="1:15" ht="24.6" customHeight="1" thickBot="1" x14ac:dyDescent="0.3">
      <c r="A25" s="3" t="s">
        <v>2</v>
      </c>
      <c r="B25" s="10">
        <f>4041.9*0.17</f>
        <v>687.12300000000005</v>
      </c>
      <c r="C25" s="10">
        <f t="shared" ref="C25:M25" si="14">4041.9*0.17</f>
        <v>687.12300000000005</v>
      </c>
      <c r="D25" s="10">
        <f t="shared" si="14"/>
        <v>687.12300000000005</v>
      </c>
      <c r="E25" s="10">
        <f t="shared" si="14"/>
        <v>687.12300000000005</v>
      </c>
      <c r="F25" s="10">
        <f t="shared" si="14"/>
        <v>687.12300000000005</v>
      </c>
      <c r="G25" s="10">
        <f t="shared" si="14"/>
        <v>687.12300000000005</v>
      </c>
      <c r="H25" s="10">
        <f t="shared" si="14"/>
        <v>687.12300000000005</v>
      </c>
      <c r="I25" s="10">
        <f t="shared" si="14"/>
        <v>687.12300000000005</v>
      </c>
      <c r="J25" s="10">
        <f t="shared" si="14"/>
        <v>687.12300000000005</v>
      </c>
      <c r="K25" s="10">
        <f t="shared" si="14"/>
        <v>687.12300000000005</v>
      </c>
      <c r="L25" s="10">
        <f t="shared" si="14"/>
        <v>687.12300000000005</v>
      </c>
      <c r="M25" s="10">
        <f t="shared" si="14"/>
        <v>687.12300000000005</v>
      </c>
      <c r="N25" s="10">
        <f t="shared" ref="N25:N36" si="15">SUM(B25:M25)</f>
        <v>8245.4759999999987</v>
      </c>
    </row>
    <row r="26" spans="1:15" ht="26.4" customHeight="1" thickBot="1" x14ac:dyDescent="0.3">
      <c r="A26" s="3" t="s">
        <v>3</v>
      </c>
      <c r="B26" s="10">
        <f>72668.94*2.3%</f>
        <v>1671.38562</v>
      </c>
      <c r="C26" s="10">
        <f>72674.32*2.3%</f>
        <v>1671.5093600000002</v>
      </c>
      <c r="D26" s="10">
        <f>72674.34*2.3%</f>
        <v>1671.50982</v>
      </c>
      <c r="E26" s="10">
        <f>72674.34*2.3%</f>
        <v>1671.50982</v>
      </c>
      <c r="F26" s="10">
        <f>72750.87*2.3%</f>
        <v>1673.27001</v>
      </c>
      <c r="G26" s="10">
        <f>96760.25*2.3%</f>
        <v>2225.4857499999998</v>
      </c>
      <c r="H26" s="10">
        <f>77277.9*2.3%</f>
        <v>1777.3916999999999</v>
      </c>
      <c r="I26" s="10">
        <f>72668.62*2.3%</f>
        <v>1671.37826</v>
      </c>
      <c r="J26" s="10">
        <f>72439.28*2.3%</f>
        <v>1666.1034399999999</v>
      </c>
      <c r="K26" s="10">
        <f>86503.43*2.3%</f>
        <v>1989.5788899999998</v>
      </c>
      <c r="L26" s="10">
        <f>86503.43*2.3%</f>
        <v>1989.5788899999998</v>
      </c>
      <c r="M26" s="10">
        <f>93117.37*2.3%</f>
        <v>2141.6995099999999</v>
      </c>
      <c r="N26" s="10">
        <f t="shared" si="15"/>
        <v>21820.40107</v>
      </c>
    </row>
    <row r="27" spans="1:15" ht="24.6" customHeight="1" thickBot="1" x14ac:dyDescent="0.3">
      <c r="A27" s="3" t="s">
        <v>4</v>
      </c>
      <c r="B27" s="10">
        <f>41866.95*3%</f>
        <v>1256.0084999999999</v>
      </c>
      <c r="C27" s="10">
        <f>35656.56*3%</f>
        <v>1069.6967999999999</v>
      </c>
      <c r="D27" s="10">
        <v>1259.8399999999999</v>
      </c>
      <c r="E27" s="10">
        <f>42352.4*3%</f>
        <v>1270.5719999999999</v>
      </c>
      <c r="F27" s="10">
        <f>37167.11*3%</f>
        <v>1115.0133000000001</v>
      </c>
      <c r="G27" s="10">
        <f>62341.35*3%</f>
        <v>1870.2404999999999</v>
      </c>
      <c r="H27" s="10">
        <f>51774.51*3%</f>
        <v>1553.2353000000001</v>
      </c>
      <c r="I27" s="10">
        <f>62308.04*3%</f>
        <v>1869.2411999999999</v>
      </c>
      <c r="J27" s="10">
        <f>39456.64*3%</f>
        <v>1183.6992</v>
      </c>
      <c r="K27" s="10">
        <f>44054.83*3%</f>
        <v>1321.6449</v>
      </c>
      <c r="L27" s="10">
        <f>50618.25*3%</f>
        <v>1518.5474999999999</v>
      </c>
      <c r="M27" s="10">
        <f>50469.91*3%</f>
        <v>1514.0973000000001</v>
      </c>
      <c r="N27" s="10">
        <f>SUM(B27:M27)</f>
        <v>16801.836500000001</v>
      </c>
    </row>
    <row r="28" spans="1:15" ht="23.25" customHeight="1" thickBot="1" x14ac:dyDescent="0.3">
      <c r="A28" s="3" t="s">
        <v>9</v>
      </c>
      <c r="B28" s="20">
        <f>4041.9*8.5</f>
        <v>34356.15</v>
      </c>
      <c r="C28" s="20">
        <f t="shared" ref="C28:F28" si="16">4041.9*8.5</f>
        <v>34356.15</v>
      </c>
      <c r="D28" s="20">
        <f t="shared" si="16"/>
        <v>34356.15</v>
      </c>
      <c r="E28" s="20">
        <f t="shared" si="16"/>
        <v>34356.15</v>
      </c>
      <c r="F28" s="20">
        <f t="shared" si="16"/>
        <v>34356.15</v>
      </c>
      <c r="G28" s="20">
        <f>4041.9*8.5</f>
        <v>34356.15</v>
      </c>
      <c r="H28" s="20">
        <f>4041.9*9.7</f>
        <v>39206.43</v>
      </c>
      <c r="I28" s="20">
        <f t="shared" ref="I28:M28" si="17">4041.9*9.7</f>
        <v>39206.43</v>
      </c>
      <c r="J28" s="20">
        <f t="shared" si="17"/>
        <v>39206.43</v>
      </c>
      <c r="K28" s="20">
        <f t="shared" si="17"/>
        <v>39206.43</v>
      </c>
      <c r="L28" s="20">
        <f t="shared" si="17"/>
        <v>39206.43</v>
      </c>
      <c r="M28" s="20">
        <f t="shared" si="17"/>
        <v>39206.43</v>
      </c>
      <c r="N28" s="10">
        <f t="shared" si="15"/>
        <v>441375.48</v>
      </c>
    </row>
    <row r="29" spans="1:15" ht="26.25" customHeight="1" thickBot="1" x14ac:dyDescent="0.3">
      <c r="A29" s="3" t="s">
        <v>20</v>
      </c>
      <c r="B29" s="10">
        <v>0</v>
      </c>
      <c r="C29" s="10">
        <v>0</v>
      </c>
      <c r="D29" s="10">
        <v>0</v>
      </c>
      <c r="E29" s="10">
        <v>0</v>
      </c>
      <c r="F29" s="10">
        <f>18297.99+1593.94</f>
        <v>19891.93</v>
      </c>
      <c r="G29" s="10">
        <v>0</v>
      </c>
      <c r="H29" s="10">
        <v>0</v>
      </c>
      <c r="I29" s="10">
        <v>0</v>
      </c>
      <c r="J29" s="10">
        <v>0.2</v>
      </c>
      <c r="K29" s="10">
        <v>0</v>
      </c>
      <c r="L29" s="10">
        <v>0</v>
      </c>
      <c r="M29" s="10">
        <v>0</v>
      </c>
      <c r="N29" s="10">
        <f t="shared" si="15"/>
        <v>19892.13</v>
      </c>
    </row>
    <row r="30" spans="1:15" ht="26.25" customHeight="1" thickBot="1" x14ac:dyDescent="0.3">
      <c r="A30" s="3" t="s">
        <v>21</v>
      </c>
      <c r="B30" s="10">
        <v>238.34</v>
      </c>
      <c r="C30" s="10">
        <v>238.34</v>
      </c>
      <c r="D30" s="10">
        <v>238.34</v>
      </c>
      <c r="E30" s="10">
        <v>238.34</v>
      </c>
      <c r="F30" s="10">
        <v>238.34</v>
      </c>
      <c r="G30" s="10">
        <v>238.34</v>
      </c>
      <c r="H30" s="10">
        <v>247.4</v>
      </c>
      <c r="I30" s="10">
        <v>247.4</v>
      </c>
      <c r="J30" s="10">
        <v>247.4</v>
      </c>
      <c r="K30" s="10">
        <v>247.4</v>
      </c>
      <c r="L30" s="10">
        <v>247.4</v>
      </c>
      <c r="M30" s="10">
        <v>335</v>
      </c>
      <c r="N30" s="10">
        <f t="shared" si="15"/>
        <v>3002.0400000000004</v>
      </c>
    </row>
    <row r="31" spans="1:15" ht="26.25" customHeight="1" thickBot="1" x14ac:dyDescent="0.3">
      <c r="A31" s="3" t="s">
        <v>22</v>
      </c>
      <c r="B31" s="10">
        <v>0</v>
      </c>
      <c r="C31" s="10">
        <v>0</v>
      </c>
      <c r="D31" s="10">
        <v>0</v>
      </c>
      <c r="E31" s="10">
        <v>76.5</v>
      </c>
      <c r="F31" s="10">
        <v>4194</v>
      </c>
      <c r="G31" s="10">
        <v>4603.51</v>
      </c>
      <c r="H31" s="10">
        <v>229.32</v>
      </c>
      <c r="I31" s="10">
        <v>0</v>
      </c>
      <c r="J31" s="10">
        <v>0</v>
      </c>
      <c r="K31" s="10">
        <v>0</v>
      </c>
      <c r="L31" s="10">
        <v>6509.88</v>
      </c>
      <c r="M31" s="10">
        <v>0</v>
      </c>
      <c r="N31" s="10">
        <f t="shared" si="15"/>
        <v>15613.21</v>
      </c>
    </row>
    <row r="32" spans="1:15" ht="26.25" customHeight="1" thickBot="1" x14ac:dyDescent="0.3">
      <c r="A32" s="3" t="s">
        <v>25</v>
      </c>
      <c r="B32" s="10">
        <v>326.81</v>
      </c>
      <c r="C32" s="10">
        <v>326.81</v>
      </c>
      <c r="D32" s="10">
        <v>326.81</v>
      </c>
      <c r="E32" s="10">
        <v>326.81</v>
      </c>
      <c r="F32" s="10">
        <v>326.81</v>
      </c>
      <c r="G32" s="10">
        <v>326.81</v>
      </c>
      <c r="H32" s="10">
        <v>326.81</v>
      </c>
      <c r="I32" s="10">
        <v>326.81</v>
      </c>
      <c r="J32" s="10">
        <v>326.81</v>
      </c>
      <c r="K32" s="10">
        <v>326.81</v>
      </c>
      <c r="L32" s="10">
        <v>326.81</v>
      </c>
      <c r="M32" s="10">
        <v>430.94</v>
      </c>
      <c r="N32" s="10">
        <f t="shared" si="15"/>
        <v>4025.85</v>
      </c>
    </row>
    <row r="33" spans="1:14" ht="22.5" customHeight="1" thickBot="1" x14ac:dyDescent="0.3">
      <c r="A33" s="3" t="s">
        <v>6</v>
      </c>
      <c r="B33" s="10">
        <f>4041.9*2.63</f>
        <v>10630.197</v>
      </c>
      <c r="C33" s="10">
        <f t="shared" ref="C33:J33" si="18">4041.9*2.63</f>
        <v>10630.197</v>
      </c>
      <c r="D33" s="10">
        <f t="shared" si="18"/>
        <v>10630.197</v>
      </c>
      <c r="E33" s="10">
        <f t="shared" si="18"/>
        <v>10630.197</v>
      </c>
      <c r="F33" s="10">
        <f t="shared" si="18"/>
        <v>10630.197</v>
      </c>
      <c r="G33" s="10">
        <f t="shared" si="18"/>
        <v>10630.197</v>
      </c>
      <c r="H33" s="10">
        <f t="shared" si="18"/>
        <v>10630.197</v>
      </c>
      <c r="I33" s="10">
        <f t="shared" si="18"/>
        <v>10630.197</v>
      </c>
      <c r="J33" s="10">
        <f t="shared" si="18"/>
        <v>10630.197</v>
      </c>
      <c r="K33" s="10">
        <f>4041.9*3.15</f>
        <v>12731.985000000001</v>
      </c>
      <c r="L33" s="10">
        <f t="shared" ref="L33:M33" si="19">4041.9*3.15</f>
        <v>12731.985000000001</v>
      </c>
      <c r="M33" s="10">
        <f t="shared" si="19"/>
        <v>12731.985000000001</v>
      </c>
      <c r="N33" s="10">
        <f t="shared" si="15"/>
        <v>133867.728</v>
      </c>
    </row>
    <row r="34" spans="1:14" ht="21.75" customHeight="1" thickBot="1" x14ac:dyDescent="0.3">
      <c r="A34" s="3" t="s">
        <v>29</v>
      </c>
      <c r="B34" s="10">
        <v>2000</v>
      </c>
      <c r="C34" s="10">
        <v>2000</v>
      </c>
      <c r="D34" s="10">
        <v>2000</v>
      </c>
      <c r="E34" s="10">
        <v>2000</v>
      </c>
      <c r="F34" s="10">
        <v>2000</v>
      </c>
      <c r="G34" s="10">
        <v>2000</v>
      </c>
      <c r="H34" s="10">
        <v>2000</v>
      </c>
      <c r="I34" s="10">
        <v>2000</v>
      </c>
      <c r="J34" s="10">
        <v>2000</v>
      </c>
      <c r="K34" s="10">
        <v>2000</v>
      </c>
      <c r="L34" s="10">
        <v>2000</v>
      </c>
      <c r="M34" s="10">
        <v>2000</v>
      </c>
      <c r="N34" s="10">
        <f t="shared" si="15"/>
        <v>24000</v>
      </c>
    </row>
    <row r="35" spans="1:14" ht="21.75" customHeight="1" thickBot="1" x14ac:dyDescent="0.3">
      <c r="A35" s="3" t="s">
        <v>26</v>
      </c>
      <c r="B35" s="10">
        <f>1140</f>
        <v>1140</v>
      </c>
      <c r="C35" s="10">
        <f>1140</f>
        <v>1140</v>
      </c>
      <c r="D35" s="10">
        <f>1140</f>
        <v>1140</v>
      </c>
      <c r="E35" s="10">
        <f>1140</f>
        <v>1140</v>
      </c>
      <c r="F35" s="10">
        <f>1140</f>
        <v>1140</v>
      </c>
      <c r="G35" s="10">
        <v>900</v>
      </c>
      <c r="H35" s="10">
        <v>900</v>
      </c>
      <c r="I35" s="10">
        <v>900</v>
      </c>
      <c r="J35" s="10">
        <v>900</v>
      </c>
      <c r="K35" s="10">
        <f>900</f>
        <v>900</v>
      </c>
      <c r="L35" s="10">
        <f>900</f>
        <v>900</v>
      </c>
      <c r="M35" s="10">
        <f>900</f>
        <v>900</v>
      </c>
      <c r="N35" s="10">
        <f t="shared" si="15"/>
        <v>12000</v>
      </c>
    </row>
    <row r="36" spans="1:14" ht="21" customHeight="1" thickBot="1" x14ac:dyDescent="0.3">
      <c r="A36" s="3" t="s">
        <v>14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11158.99</v>
      </c>
      <c r="K36" s="10">
        <v>0</v>
      </c>
      <c r="L36" s="10">
        <v>0</v>
      </c>
      <c r="M36" s="10">
        <v>0</v>
      </c>
      <c r="N36" s="10">
        <f t="shared" si="15"/>
        <v>11158.99</v>
      </c>
    </row>
    <row r="37" spans="1:14" ht="24" customHeight="1" thickBot="1" x14ac:dyDescent="0.3">
      <c r="A37" s="3" t="s">
        <v>10</v>
      </c>
      <c r="B37" s="10">
        <f>1257.7</f>
        <v>1257.7</v>
      </c>
      <c r="C37" s="10">
        <v>0</v>
      </c>
      <c r="D37" s="10">
        <f>2277.3+2338+1644.7+1269.3+7603.2+314.3</f>
        <v>15446.8</v>
      </c>
      <c r="E37" s="10">
        <f>2102.1+1588.6+8300</f>
        <v>11990.7</v>
      </c>
      <c r="F37" s="10">
        <f>1198.5</f>
        <v>1198.5</v>
      </c>
      <c r="G37" s="10">
        <f>23154.8+33192</f>
        <v>56346.8</v>
      </c>
      <c r="H37" s="10">
        <v>0</v>
      </c>
      <c r="I37" s="10">
        <f>2017.8+2041.8+8405.7</f>
        <v>12465.300000000001</v>
      </c>
      <c r="J37" s="10">
        <f>6933.3</f>
        <v>6933.3</v>
      </c>
      <c r="K37" s="10">
        <f>335.4+582.1</f>
        <v>917.5</v>
      </c>
      <c r="L37" s="10">
        <f>25968.8</f>
        <v>25968.799999999999</v>
      </c>
      <c r="M37" s="10">
        <f>93850+88122</f>
        <v>181972</v>
      </c>
      <c r="N37" s="10">
        <f>SUM(B37:M37)</f>
        <v>314497.40000000002</v>
      </c>
    </row>
    <row r="38" spans="1:14" ht="22.5" customHeight="1" thickBot="1" x14ac:dyDescent="0.3">
      <c r="A38" s="8" t="s">
        <v>23</v>
      </c>
      <c r="B38" s="9">
        <f t="shared" ref="B38:M38" si="20">SUM(B24:B37)</f>
        <v>55786.759119999995</v>
      </c>
      <c r="C38" s="9">
        <f t="shared" si="20"/>
        <v>54342.871159999995</v>
      </c>
      <c r="D38" s="9">
        <f t="shared" si="20"/>
        <v>69979.81482</v>
      </c>
      <c r="E38" s="9">
        <f t="shared" si="20"/>
        <v>66610.946819999997</v>
      </c>
      <c r="F38" s="9">
        <f t="shared" si="20"/>
        <v>79674.37831</v>
      </c>
      <c r="G38" s="9">
        <f t="shared" si="20"/>
        <v>116407.70125</v>
      </c>
      <c r="H38" s="9">
        <f t="shared" si="20"/>
        <v>59780.951999999997</v>
      </c>
      <c r="I38" s="9">
        <f t="shared" si="20"/>
        <v>72226.924459999995</v>
      </c>
      <c r="J38" s="9">
        <f t="shared" si="20"/>
        <v>77163.297640000004</v>
      </c>
      <c r="K38" s="9">
        <f t="shared" si="20"/>
        <v>62551.516790000001</v>
      </c>
      <c r="L38" s="9">
        <f t="shared" si="20"/>
        <v>94511.694390000004</v>
      </c>
      <c r="M38" s="9">
        <f t="shared" si="20"/>
        <v>244344.41480999999</v>
      </c>
      <c r="N38" s="9">
        <f>SUM(B38:M38)</f>
        <v>1053381.2715699999</v>
      </c>
    </row>
    <row r="39" spans="1:14" ht="23.25" customHeight="1" thickBot="1" x14ac:dyDescent="0.3">
      <c r="A39" s="3" t="s">
        <v>5</v>
      </c>
      <c r="B39" s="17">
        <f t="shared" ref="B39:N39" si="21">B15-B38</f>
        <v>-13819.809119999998</v>
      </c>
      <c r="C39" s="17">
        <f t="shared" si="21"/>
        <v>-18586.311159999997</v>
      </c>
      <c r="D39" s="17">
        <f t="shared" si="21"/>
        <v>333906.45518000005</v>
      </c>
      <c r="E39" s="17">
        <f t="shared" si="21"/>
        <v>-24158.546819999996</v>
      </c>
      <c r="F39" s="17">
        <f t="shared" si="21"/>
        <v>-42407.268309999999</v>
      </c>
      <c r="G39" s="17">
        <f t="shared" si="21"/>
        <v>-53966.35125</v>
      </c>
      <c r="H39" s="17">
        <f t="shared" si="21"/>
        <v>-7906.4419999999955</v>
      </c>
      <c r="I39" s="17">
        <f t="shared" si="21"/>
        <v>-9818.884459999972</v>
      </c>
      <c r="J39" s="17">
        <f t="shared" si="21"/>
        <v>-37186.657640000012</v>
      </c>
      <c r="K39" s="17">
        <f t="shared" si="21"/>
        <v>-18396.686790000007</v>
      </c>
      <c r="L39" s="17">
        <f t="shared" si="21"/>
        <v>-43793.444390000004</v>
      </c>
      <c r="M39" s="17">
        <f t="shared" si="21"/>
        <v>-193774.50480999998</v>
      </c>
      <c r="N39" s="17">
        <f t="shared" si="21"/>
        <v>-129908.4515699998</v>
      </c>
    </row>
    <row r="40" spans="1:14" ht="23.25" customHeight="1" thickBot="1" x14ac:dyDescent="0.3">
      <c r="A40" s="3" t="s">
        <v>7</v>
      </c>
      <c r="B40" s="13">
        <f t="shared" ref="B40:N40" si="22">B5+B39</f>
        <v>-988001.77911999996</v>
      </c>
      <c r="C40" s="13">
        <f t="shared" si="22"/>
        <v>-1006588.09028</v>
      </c>
      <c r="D40" s="13">
        <f t="shared" si="22"/>
        <v>-672681.63509999996</v>
      </c>
      <c r="E40" s="13">
        <f t="shared" si="22"/>
        <v>-696840.18192</v>
      </c>
      <c r="F40" s="13">
        <f t="shared" si="22"/>
        <v>-739247.45022999996</v>
      </c>
      <c r="G40" s="13">
        <f t="shared" si="22"/>
        <v>-793213.80147999991</v>
      </c>
      <c r="H40" s="13">
        <f t="shared" si="22"/>
        <v>-801120.24347999995</v>
      </c>
      <c r="I40" s="13">
        <f t="shared" si="22"/>
        <v>-810939.12793999992</v>
      </c>
      <c r="J40" s="13">
        <f t="shared" si="22"/>
        <v>-848125.78557999991</v>
      </c>
      <c r="K40" s="13">
        <f t="shared" si="22"/>
        <v>-866522.47236999986</v>
      </c>
      <c r="L40" s="13">
        <f t="shared" si="22"/>
        <v>-910315.91675999982</v>
      </c>
      <c r="M40" s="13">
        <f t="shared" si="22"/>
        <v>-1104090.4215699998</v>
      </c>
      <c r="N40" s="13">
        <f t="shared" si="22"/>
        <v>-1104090.4215699998</v>
      </c>
    </row>
    <row r="41" spans="1:14" ht="27" customHeight="1" thickBot="1" x14ac:dyDescent="0.3">
      <c r="A41" s="14" t="s">
        <v>11</v>
      </c>
      <c r="B41" s="18">
        <f t="shared" ref="B41:N41" si="23">B6+B15-B7</f>
        <v>-757004.45</v>
      </c>
      <c r="C41" s="18">
        <f t="shared" si="23"/>
        <v>-794392.21</v>
      </c>
      <c r="D41" s="18">
        <f t="shared" si="23"/>
        <v>-463650.27999999991</v>
      </c>
      <c r="E41" s="18">
        <f t="shared" si="23"/>
        <v>-494342.21999999986</v>
      </c>
      <c r="F41" s="18">
        <f t="shared" si="23"/>
        <v>-530295.97999999986</v>
      </c>
      <c r="G41" s="18">
        <f t="shared" si="23"/>
        <v>-565084.87999999989</v>
      </c>
      <c r="H41" s="18">
        <f t="shared" si="23"/>
        <v>-590958.2699999999</v>
      </c>
      <c r="I41" s="18">
        <f t="shared" si="23"/>
        <v>-601688.84999999986</v>
      </c>
      <c r="J41" s="18">
        <f t="shared" si="23"/>
        <v>-634621.48999999987</v>
      </c>
      <c r="K41" s="18">
        <f t="shared" si="23"/>
        <v>-677440.09</v>
      </c>
      <c r="L41" s="18">
        <f t="shared" si="23"/>
        <v>-713695.27</v>
      </c>
      <c r="M41" s="18">
        <f t="shared" si="23"/>
        <v>-756712.73</v>
      </c>
      <c r="N41" s="18">
        <f t="shared" si="23"/>
        <v>-756712.73</v>
      </c>
    </row>
  </sheetData>
  <mergeCells count="1">
    <mergeCell ref="A1:N1"/>
  </mergeCells>
  <phoneticPr fontId="2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2023-03-01T09:27:51Z</cp:lastPrinted>
  <dcterms:created xsi:type="dcterms:W3CDTF">2011-06-06T03:25:48Z</dcterms:created>
  <dcterms:modified xsi:type="dcterms:W3CDTF">2023-03-14T09:59:48Z</dcterms:modified>
</cp:coreProperties>
</file>