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N37" i="1" l="1"/>
  <c r="N38" i="1"/>
  <c r="N39" i="1"/>
  <c r="N35" i="1"/>
  <c r="N34" i="1"/>
  <c r="N32" i="1"/>
  <c r="N31" i="1"/>
  <c r="N30" i="1"/>
  <c r="N29" i="1"/>
  <c r="N28" i="1"/>
  <c r="N27" i="1"/>
  <c r="N33" i="1"/>
  <c r="N36" i="1"/>
  <c r="N26" i="1"/>
  <c r="M13" i="1" l="1"/>
  <c r="M12" i="1"/>
  <c r="M11" i="1"/>
  <c r="M14" i="1"/>
  <c r="L13" i="1"/>
  <c r="L12" i="1"/>
  <c r="L11" i="1"/>
  <c r="L14" i="1"/>
  <c r="K13" i="1"/>
  <c r="K10" i="1"/>
  <c r="K12" i="1"/>
  <c r="K11" i="1"/>
  <c r="K14" i="1"/>
  <c r="M37" i="1" l="1"/>
  <c r="L37" i="1" l="1"/>
  <c r="K37" i="1" l="1"/>
  <c r="K39" i="1" l="1"/>
  <c r="L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J24" i="1" l="1"/>
  <c r="K35" i="1" l="1"/>
  <c r="L35" i="1"/>
  <c r="M35" i="1"/>
  <c r="K30" i="1"/>
  <c r="L30" i="1"/>
  <c r="M30" i="1"/>
  <c r="K27" i="1"/>
  <c r="L27" i="1"/>
  <c r="M27" i="1"/>
  <c r="M26" i="1"/>
  <c r="L26" i="1"/>
  <c r="K26" i="1"/>
  <c r="J13" i="1" l="1"/>
  <c r="J10" i="1"/>
  <c r="J12" i="1"/>
  <c r="J11" i="1"/>
  <c r="J14" i="1"/>
  <c r="I13" i="1"/>
  <c r="I12" i="1"/>
  <c r="I11" i="1"/>
  <c r="I14" i="1"/>
  <c r="H13" i="1"/>
  <c r="H12" i="1"/>
  <c r="H11" i="1"/>
  <c r="H14" i="1"/>
  <c r="J31" i="1" l="1"/>
  <c r="I31" i="1"/>
  <c r="I39" i="1" l="1"/>
  <c r="J30" i="1" l="1"/>
  <c r="H30" i="1"/>
  <c r="J29" i="1" l="1"/>
  <c r="J17" i="1"/>
  <c r="J28" i="1"/>
  <c r="J8" i="1"/>
  <c r="H26" i="1"/>
  <c r="I26" i="1"/>
  <c r="J26" i="1"/>
  <c r="J35" i="1" l="1"/>
  <c r="I35" i="1"/>
  <c r="H35" i="1"/>
  <c r="I30" i="1"/>
  <c r="H27" i="1"/>
  <c r="I27" i="1"/>
  <c r="J27" i="1"/>
  <c r="C27" i="1"/>
  <c r="D27" i="1"/>
  <c r="E27" i="1"/>
  <c r="F27" i="1"/>
  <c r="G27" i="1"/>
  <c r="C26" i="1"/>
  <c r="D26" i="1"/>
  <c r="E26" i="1"/>
  <c r="F26" i="1"/>
  <c r="G26" i="1"/>
  <c r="B27" i="1"/>
  <c r="B26" i="1"/>
  <c r="I29" i="1" l="1"/>
  <c r="I17" i="1"/>
  <c r="I28" i="1"/>
  <c r="I8" i="1"/>
  <c r="H29" i="1" l="1"/>
  <c r="H17" i="1"/>
  <c r="H28" i="1"/>
  <c r="H8" i="1"/>
  <c r="G13" i="1" l="1"/>
  <c r="G12" i="1"/>
  <c r="G11" i="1"/>
  <c r="G14" i="1"/>
  <c r="F22" i="1"/>
  <c r="F21" i="1"/>
  <c r="F20" i="1"/>
  <c r="F23" i="1"/>
  <c r="F13" i="1"/>
  <c r="F11" i="1"/>
  <c r="F14" i="1"/>
  <c r="E13" i="1"/>
  <c r="E12" i="1"/>
  <c r="E11" i="1"/>
  <c r="E14" i="1"/>
  <c r="F37" i="1" l="1"/>
  <c r="E37" i="1" l="1"/>
  <c r="G29" i="1" l="1"/>
  <c r="G17" i="1"/>
  <c r="G28" i="1"/>
  <c r="G8" i="1"/>
  <c r="F39" i="1" l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G30" i="1"/>
  <c r="D13" i="1" l="1"/>
  <c r="D11" i="1"/>
  <c r="D14" i="1"/>
  <c r="C13" i="1"/>
  <c r="C12" i="1"/>
  <c r="C11" i="1"/>
  <c r="C14" i="1"/>
  <c r="B13" i="1"/>
  <c r="B12" i="1"/>
  <c r="B11" i="1"/>
  <c r="B14" i="1"/>
  <c r="D39" i="1" l="1"/>
  <c r="D37" i="1" l="1"/>
  <c r="C37" i="1" l="1"/>
  <c r="B37" i="1" l="1"/>
  <c r="C39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B35" i="1"/>
  <c r="B30" i="1"/>
  <c r="C40" i="1" l="1"/>
  <c r="D40" i="1"/>
  <c r="E40" i="1"/>
  <c r="F40" i="1"/>
  <c r="G40" i="1"/>
  <c r="H40" i="1"/>
  <c r="I40" i="1"/>
  <c r="J40" i="1"/>
  <c r="B40" i="1"/>
  <c r="N18" i="1"/>
  <c r="N19" i="1"/>
  <c r="N20" i="1"/>
  <c r="N21" i="1"/>
  <c r="N22" i="1"/>
  <c r="N23" i="1"/>
  <c r="N24" i="1"/>
  <c r="N17" i="1"/>
  <c r="N9" i="1"/>
  <c r="N10" i="1"/>
  <c r="N11" i="1"/>
  <c r="N12" i="1"/>
  <c r="N13" i="1"/>
  <c r="N14" i="1"/>
  <c r="N15" i="1"/>
  <c r="N8" i="1"/>
  <c r="B16" i="1" l="1"/>
  <c r="N6" i="1" l="1"/>
  <c r="N5" i="1"/>
  <c r="L16" i="1" l="1"/>
  <c r="K16" i="1"/>
  <c r="M16" i="1"/>
  <c r="K7" i="1"/>
  <c r="L7" i="1"/>
  <c r="M7" i="1"/>
  <c r="M40" i="1" l="1"/>
  <c r="M41" i="1" s="1"/>
  <c r="K40" i="1"/>
  <c r="L40" i="1"/>
  <c r="L41" i="1" s="1"/>
  <c r="K41" i="1" l="1"/>
  <c r="N40" i="1"/>
  <c r="H16" i="1"/>
  <c r="I16" i="1"/>
  <c r="J16" i="1"/>
  <c r="H7" i="1"/>
  <c r="I7" i="1"/>
  <c r="J7" i="1"/>
  <c r="F16" i="1"/>
  <c r="F7" i="1"/>
  <c r="E7" i="1" l="1"/>
  <c r="E16" i="1"/>
  <c r="E41" i="1" s="1"/>
  <c r="G7" i="1"/>
  <c r="G16" i="1"/>
  <c r="J41" i="1"/>
  <c r="I41" i="1"/>
  <c r="F41" i="1"/>
  <c r="G41" i="1" l="1"/>
  <c r="H41" i="1"/>
  <c r="D16" i="1"/>
  <c r="D7" i="1"/>
  <c r="C16" i="1"/>
  <c r="C7" i="1"/>
  <c r="B7" i="1"/>
  <c r="N7" i="1" l="1"/>
  <c r="N16" i="1"/>
  <c r="D41" i="1"/>
  <c r="C41" i="1"/>
  <c r="B43" i="1"/>
  <c r="N43" i="1" l="1"/>
  <c r="C6" i="1"/>
  <c r="C43" i="1" s="1"/>
  <c r="D6" i="1" s="1"/>
  <c r="D43" i="1" s="1"/>
  <c r="E6" i="1" s="1"/>
  <c r="N41" i="1" l="1"/>
  <c r="N42" i="1" s="1"/>
  <c r="B41" i="1"/>
  <c r="B42" i="1" s="1"/>
  <c r="C5" i="1" l="1"/>
  <c r="C42" i="1" s="1"/>
  <c r="D5" i="1" s="1"/>
  <c r="D42" i="1" l="1"/>
  <c r="E43" i="1" l="1"/>
  <c r="F6" i="1" s="1"/>
  <c r="F43" i="1" s="1"/>
  <c r="G6" i="1" s="1"/>
  <c r="G43" i="1" s="1"/>
  <c r="H6" i="1" s="1"/>
  <c r="H43" i="1" s="1"/>
  <c r="I6" i="1" s="1"/>
  <c r="I43" i="1" s="1"/>
  <c r="J6" i="1" s="1"/>
  <c r="J43" i="1" s="1"/>
  <c r="K6" i="1" s="1"/>
  <c r="K43" i="1" s="1"/>
  <c r="L6" i="1" s="1"/>
  <c r="E5" i="1"/>
  <c r="E42" i="1" s="1"/>
  <c r="F5" i="1" s="1"/>
  <c r="F42" i="1" s="1"/>
  <c r="G5" i="1" s="1"/>
  <c r="L43" i="1" l="1"/>
  <c r="M6" i="1" s="1"/>
  <c r="G42" i="1"/>
  <c r="M43" i="1" l="1"/>
  <c r="H5" i="1"/>
  <c r="H42" i="1" s="1"/>
  <c r="I5" i="1" l="1"/>
  <c r="I42" i="1" s="1"/>
  <c r="J5" i="1" l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<sst xmlns="http://schemas.openxmlformats.org/spreadsheetml/2006/main" count="54" uniqueCount="44">
  <si>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</si>
  <si>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</si>
  <si>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</si>
  <si>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</si>
  <si>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</si>
  <si>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</si>
  <si>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</si>
  <si>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</si>
  <si>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</si>
  <si>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</si>
  <si>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</si>
  <si>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</si>
  <si>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</si>
  <si>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</si>
  <si>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</si>
  <si>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</si>
  <si>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</si>
  <si>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</si>
  <si>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</si>
  <si>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</si>
  <si>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</si>
  <si>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</si>
  <si>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</si>
  <si>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</si>
  <si>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</si>
  <si>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Охрана общего имущества МКД</t>
  </si>
  <si>
    <t>Отведение сточных вод ОИ</t>
  </si>
  <si>
    <t>Тех.обслуживание узла учета ОДПУ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</si>
  <si>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</si>
  <si>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</si>
  <si>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</si>
  <si>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</si>
  <si>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</si>
  <si>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</si>
  <si>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</si>
  <si>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</si>
  <si>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</si>
  <si>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</si>
  <si>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</si>
  <si>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</si>
  <si>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</si>
  <si>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</si>
  <si>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Социалистическая, 52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</si>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</sst>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A32" sqref="A32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-226119.23</v>
      </c>
      <c r="C5" s="8">
        <f t="shared" ref="C5:C6" si="0">B42</f>
        <v>-218693.45089000001</v>
      </c>
      <c r="D5" s="8">
        <f t="shared" ref="D5" si="1">C42</f>
        <v>-227769.57746</v>
      </c>
      <c r="E5" s="8">
        <f t="shared" ref="E5" si="2">D42</f>
        <v>-214960.34833000001</v>
      </c>
      <c r="F5" s="8">
        <f t="shared" ref="F5" si="3">E42</f>
        <v>-205449.18100000001</v>
      </c>
      <c r="G5" s="8">
        <f t="shared" ref="G5" si="4">F42</f>
        <v>-190038.94807000004</v>
      </c>
      <c r="H5" s="8">
        <f t="shared" ref="H5:H6" si="5">G42</f>
        <v>-183288.97204000002</v>
      </c>
      <c r="I5" s="8">
        <f t="shared" ref="I5:I6" si="6">H42</f>
        <v>-178966.50152000002</v>
      </c>
      <c r="J5" s="8">
        <f t="shared" ref="J5:J6" si="7">I42</f>
        <v>-175154.06586000003</v>
      </c>
      <c r="K5" s="8">
        <f t="shared" ref="K5:K6" si="8">J42</f>
        <v>-145716.54421000005</v>
      </c>
      <c r="L5" s="8">
        <f t="shared" ref="L5:L6" si="9">K42</f>
        <v>-138799.25521000006</v>
      </c>
      <c r="M5" s="8">
        <f t="shared" ref="M5:M6" si="10">L42</f>
        <v>-321939.08400000009</v>
      </c>
      <c r="N5" s="8">
        <f>B5</f>
        <v>-226119.23</v>
      </c>
    </row>
    <row r="6" spans="1:18" ht="21" customHeight="1" thickBot="1" x14ac:dyDescent="0.3">
      <c r="A6" s="7" t="s">
        <v>13</v>
      </c>
      <c r="B6" s="8">
        <v>-137281.82</v>
      </c>
      <c r="C6" s="8">
        <f t="shared" si="0"/>
        <v>-148575.59000000003</v>
      </c>
      <c r="D6" s="8">
        <f t="shared" ref="D6" si="11">C43</f>
        <v>-153134.68000000002</v>
      </c>
      <c r="E6" s="8">
        <f t="shared" ref="E6" si="12">D43</f>
        <v>-155110.05000000002</v>
      </c>
      <c r="F6" s="8">
        <f t="shared" ref="F6" si="13">E43</f>
        <v>-160200.41000000003</v>
      </c>
      <c r="G6" s="8">
        <f t="shared" ref="G6" si="14">F43</f>
        <v>-160933.14000000004</v>
      </c>
      <c r="H6" s="8">
        <f t="shared" si="5"/>
        <v>-170431.48000000004</v>
      </c>
      <c r="I6" s="8">
        <f t="shared" si="6"/>
        <v>-178074.03000000006</v>
      </c>
      <c r="J6" s="8">
        <f t="shared" si="7"/>
        <v>-199070.47000000006</v>
      </c>
      <c r="K6" s="8">
        <f t="shared" si="8"/>
        <v>-188291.20000000007</v>
      </c>
      <c r="L6" s="8">
        <f t="shared" si="9"/>
        <v>-195955.77000000008</v>
      </c>
      <c r="M6" s="8">
        <f t="shared" si="10"/>
        <v>-194106.64000000007</v>
      </c>
      <c r="N6" s="8">
        <f>B6</f>
        <v>-137281.82</v>
      </c>
    </row>
    <row r="7" spans="1:18" ht="20.25" customHeight="1" thickBot="1" x14ac:dyDescent="0.3">
      <c r="A7" s="9" t="s">
        <v>12</v>
      </c>
      <c r="B7" s="10">
        <f t="shared" ref="B7:M7" si="15">SUM(B8:B15)</f>
        <v>70516.650000000009</v>
      </c>
      <c r="C7" s="10">
        <f t="shared" si="15"/>
        <v>68523.23000000001</v>
      </c>
      <c r="D7" s="10">
        <f t="shared" si="15"/>
        <v>68105.33</v>
      </c>
      <c r="E7" s="10">
        <f t="shared" si="15"/>
        <v>69276.14</v>
      </c>
      <c r="F7" s="10">
        <f t="shared" si="15"/>
        <v>68105.33</v>
      </c>
      <c r="G7" s="10">
        <f t="shared" si="15"/>
        <v>68754.61</v>
      </c>
      <c r="H7" s="10">
        <f t="shared" si="15"/>
        <v>70196.950000000012</v>
      </c>
      <c r="I7" s="10">
        <f t="shared" si="15"/>
        <v>83254.28</v>
      </c>
      <c r="J7" s="10">
        <f t="shared" si="15"/>
        <v>78931.710000000006</v>
      </c>
      <c r="K7" s="10">
        <f t="shared" si="15"/>
        <v>82503.14</v>
      </c>
      <c r="L7" s="10">
        <f t="shared" si="15"/>
        <v>82394.210000000006</v>
      </c>
      <c r="M7" s="10">
        <f t="shared" si="15"/>
        <v>85833.62000000001</v>
      </c>
      <c r="N7" s="10">
        <f>SUM(B7:M7)</f>
        <v>896395.2</v>
      </c>
    </row>
    <row r="8" spans="1:18" ht="24.75" customHeight="1" thickBot="1" x14ac:dyDescent="0.3">
      <c r="A8" s="4" t="s">
        <v>28</v>
      </c>
      <c r="B8" s="11">
        <f t="shared" ref="B8:G8" si="16">58346.85+436.55+1208.86</f>
        <v>59992.26</v>
      </c>
      <c r="C8" s="11">
        <f t="shared" si="16"/>
        <v>59992.26</v>
      </c>
      <c r="D8" s="11">
        <f t="shared" si="16"/>
        <v>59992.26</v>
      </c>
      <c r="E8" s="11">
        <f t="shared" si="16"/>
        <v>59992.26</v>
      </c>
      <c r="F8" s="11">
        <f t="shared" si="16"/>
        <v>59992.26</v>
      </c>
      <c r="G8" s="11">
        <f t="shared" si="16"/>
        <v>59992.26</v>
      </c>
      <c r="H8" s="11">
        <f>58346.85+436.55+1208.86</f>
        <v>59992.26</v>
      </c>
      <c r="I8" s="11">
        <f>70016.22-958.34+1208.86+2435.8</f>
        <v>72702.540000000008</v>
      </c>
      <c r="J8" s="11">
        <f>70016.22-2841.86+3110.46</f>
        <v>70284.820000000007</v>
      </c>
      <c r="K8" s="11">
        <f>70016.22+1477.46</f>
        <v>71493.680000000008</v>
      </c>
      <c r="L8" s="11">
        <f>70016.22+1477.47</f>
        <v>71493.69</v>
      </c>
      <c r="M8" s="11">
        <f>70016.22+1477.47</f>
        <v>71493.69</v>
      </c>
      <c r="N8" s="11">
        <f>SUM(B8:M8)</f>
        <v>777414.24</v>
      </c>
    </row>
    <row r="9" spans="1:18" ht="24.75" customHeight="1" thickBot="1" x14ac:dyDescent="0.3">
      <c r="A9" s="4" t="s">
        <v>16</v>
      </c>
      <c r="B9" s="11">
        <v>1759.57</v>
      </c>
      <c r="C9" s="11">
        <v>1759.57</v>
      </c>
      <c r="D9" s="11">
        <v>1759.57</v>
      </c>
      <c r="E9" s="11">
        <v>1759.57</v>
      </c>
      <c r="F9" s="11">
        <v>1759.57</v>
      </c>
      <c r="G9" s="11">
        <v>1759.57</v>
      </c>
      <c r="H9" s="11">
        <v>1759.57</v>
      </c>
      <c r="I9" s="11">
        <v>2111.48</v>
      </c>
      <c r="J9" s="11">
        <v>2111.48</v>
      </c>
      <c r="K9" s="11">
        <v>2111.48</v>
      </c>
      <c r="L9" s="11">
        <v>2111.48</v>
      </c>
      <c r="M9" s="11">
        <v>2111.48</v>
      </c>
      <c r="N9" s="11">
        <f t="shared" ref="N9:N15" si="17">SUM(B9:M9)</f>
        <v>22874.39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f>137.31+3.93</f>
        <v>141.24</v>
      </c>
      <c r="K10" s="11">
        <f>672.38+20.64</f>
        <v>693.02</v>
      </c>
      <c r="L10" s="11">
        <v>0</v>
      </c>
      <c r="M10" s="11">
        <v>0</v>
      </c>
      <c r="N10" s="11">
        <f t="shared" si="17"/>
        <v>834.26</v>
      </c>
    </row>
    <row r="11" spans="1:18" ht="24.75" customHeight="1" thickBot="1" x14ac:dyDescent="0.3">
      <c r="A11" s="4" t="s">
        <v>18</v>
      </c>
      <c r="B11" s="11">
        <f t="shared" ref="B11:G11" si="18">267.22+7.86</f>
        <v>275.08000000000004</v>
      </c>
      <c r="C11" s="11">
        <f t="shared" si="18"/>
        <v>275.08000000000004</v>
      </c>
      <c r="D11" s="11">
        <f t="shared" si="18"/>
        <v>275.08000000000004</v>
      </c>
      <c r="E11" s="11">
        <f t="shared" si="18"/>
        <v>275.08000000000004</v>
      </c>
      <c r="F11" s="11">
        <f t="shared" si="18"/>
        <v>275.08000000000004</v>
      </c>
      <c r="G11" s="11">
        <f t="shared" si="18"/>
        <v>275.08000000000004</v>
      </c>
      <c r="H11" s="11">
        <f>267.22+7.86</f>
        <v>275.08000000000004</v>
      </c>
      <c r="I11" s="11">
        <f>277.36+7.86</f>
        <v>285.22000000000003</v>
      </c>
      <c r="J11" s="11">
        <f>277.36+7.86</f>
        <v>285.22000000000003</v>
      </c>
      <c r="K11" s="11">
        <f>184.83+5.9</f>
        <v>190.73000000000002</v>
      </c>
      <c r="L11" s="11">
        <f>184.84+5.9</f>
        <v>190.74</v>
      </c>
      <c r="M11" s="11">
        <f>184.97+5.9</f>
        <v>190.87</v>
      </c>
      <c r="N11" s="11">
        <f t="shared" si="17"/>
        <v>3068.34</v>
      </c>
    </row>
    <row r="12" spans="1:18" ht="24.75" customHeight="1" thickBot="1" x14ac:dyDescent="0.3">
      <c r="A12" s="4" t="s">
        <v>19</v>
      </c>
      <c r="B12" s="11">
        <f>2340.54+70.78</f>
        <v>2411.3200000000002</v>
      </c>
      <c r="C12" s="11">
        <f>406.1+11.8</f>
        <v>417.90000000000003</v>
      </c>
      <c r="D12" s="11">
        <v>0</v>
      </c>
      <c r="E12" s="11">
        <f>1136.4+34.41</f>
        <v>1170.8100000000002</v>
      </c>
      <c r="F12" s="11">
        <v>0</v>
      </c>
      <c r="G12" s="11">
        <f>630.6+18.68</f>
        <v>649.28</v>
      </c>
      <c r="H12" s="11">
        <f>2030.67+60.95</f>
        <v>2091.62</v>
      </c>
      <c r="I12" s="11">
        <f>2015.67+60.95</f>
        <v>2076.62</v>
      </c>
      <c r="J12" s="11">
        <f>29.55+0.98</f>
        <v>30.53</v>
      </c>
      <c r="K12" s="11">
        <f>1878.8+57.01</f>
        <v>1935.81</v>
      </c>
      <c r="L12" s="11">
        <f>2507.55+75.69</f>
        <v>2583.2400000000002</v>
      </c>
      <c r="M12" s="11">
        <f>5728.95+173.01</f>
        <v>5901.96</v>
      </c>
      <c r="N12" s="11">
        <f t="shared" si="17"/>
        <v>19269.09</v>
      </c>
    </row>
    <row r="13" spans="1:18" ht="24.75" customHeight="1" thickBot="1" x14ac:dyDescent="0.3">
      <c r="A13" s="4" t="s">
        <v>43</v>
      </c>
      <c r="B13" s="11">
        <f t="shared" ref="B13:G13" si="19">4371.15+60</f>
        <v>4431.1499999999996</v>
      </c>
      <c r="C13" s="11">
        <f t="shared" si="19"/>
        <v>4431.1499999999996</v>
      </c>
      <c r="D13" s="11">
        <f t="shared" si="19"/>
        <v>4431.1499999999996</v>
      </c>
      <c r="E13" s="11">
        <f t="shared" si="19"/>
        <v>4431.1499999999996</v>
      </c>
      <c r="F13" s="11">
        <f t="shared" si="19"/>
        <v>4431.1499999999996</v>
      </c>
      <c r="G13" s="11">
        <f t="shared" si="19"/>
        <v>4431.1499999999996</v>
      </c>
      <c r="H13" s="11">
        <f>4371.15+60</f>
        <v>4431.1499999999996</v>
      </c>
      <c r="I13" s="11">
        <f>4371.15+60</f>
        <v>4431.1499999999996</v>
      </c>
      <c r="J13" s="11">
        <f>4371.15+60</f>
        <v>4431.1499999999996</v>
      </c>
      <c r="K13" s="11">
        <f>4371.15+60</f>
        <v>4431.1499999999996</v>
      </c>
      <c r="L13" s="11">
        <f>4307.8+60</f>
        <v>4367.8</v>
      </c>
      <c r="M13" s="11">
        <f>4307.8+60</f>
        <v>4367.8</v>
      </c>
      <c r="N13" s="11">
        <f t="shared" si="17"/>
        <v>53047.100000000013</v>
      </c>
    </row>
    <row r="14" spans="1:18" ht="24.75" customHeight="1" thickBot="1" x14ac:dyDescent="0.3">
      <c r="A14" s="4" t="s">
        <v>26</v>
      </c>
      <c r="B14" s="11">
        <f t="shared" ref="B14:G14" si="20">366.46+10.81</f>
        <v>377.27</v>
      </c>
      <c r="C14" s="11">
        <f t="shared" si="20"/>
        <v>377.27</v>
      </c>
      <c r="D14" s="11">
        <f t="shared" si="20"/>
        <v>377.27</v>
      </c>
      <c r="E14" s="11">
        <f t="shared" si="20"/>
        <v>377.27</v>
      </c>
      <c r="F14" s="11">
        <f t="shared" si="20"/>
        <v>377.27</v>
      </c>
      <c r="G14" s="11">
        <f t="shared" si="20"/>
        <v>377.27</v>
      </c>
      <c r="H14" s="11">
        <f>366.46+10.81</f>
        <v>377.27</v>
      </c>
      <c r="I14" s="11">
        <f>366.46+10.81</f>
        <v>377.27</v>
      </c>
      <c r="J14" s="11">
        <f>366.46+10.81</f>
        <v>377.27</v>
      </c>
      <c r="K14" s="11">
        <f>366.46+10.81</f>
        <v>377.27</v>
      </c>
      <c r="L14" s="11">
        <f>366.45+10.81</f>
        <v>377.26</v>
      </c>
      <c r="M14" s="11">
        <f>483.07+14.75</f>
        <v>497.82</v>
      </c>
      <c r="N14" s="11">
        <f t="shared" si="17"/>
        <v>4647.78</v>
      </c>
    </row>
    <row r="15" spans="1:18" ht="24.75" customHeight="1" thickBot="1" x14ac:dyDescent="0.3">
      <c r="A15" s="4" t="s">
        <v>14</v>
      </c>
      <c r="B15" s="11">
        <v>1270</v>
      </c>
      <c r="C15" s="11">
        <v>1270</v>
      </c>
      <c r="D15" s="11">
        <v>1270</v>
      </c>
      <c r="E15" s="11">
        <v>1270</v>
      </c>
      <c r="F15" s="11">
        <v>1270</v>
      </c>
      <c r="G15" s="11">
        <v>1270</v>
      </c>
      <c r="H15" s="11">
        <v>1270</v>
      </c>
      <c r="I15" s="11">
        <v>1270</v>
      </c>
      <c r="J15" s="11">
        <v>1270</v>
      </c>
      <c r="K15" s="11">
        <v>1270</v>
      </c>
      <c r="L15" s="11">
        <v>1270</v>
      </c>
      <c r="M15" s="11">
        <v>1270</v>
      </c>
      <c r="N15" s="11">
        <f t="shared" si="17"/>
        <v>15240</v>
      </c>
    </row>
    <row r="16" spans="1:18" ht="20.25" customHeight="1" thickBot="1" x14ac:dyDescent="0.3">
      <c r="A16" s="12" t="s">
        <v>8</v>
      </c>
      <c r="B16" s="13">
        <f t="shared" ref="B16:M16" si="21">SUM(B17:B24)</f>
        <v>59222.879999999997</v>
      </c>
      <c r="C16" s="13">
        <f t="shared" si="21"/>
        <v>63964.140000000007</v>
      </c>
      <c r="D16" s="13">
        <f t="shared" si="21"/>
        <v>66129.960000000006</v>
      </c>
      <c r="E16" s="13">
        <f t="shared" si="21"/>
        <v>64185.780000000006</v>
      </c>
      <c r="F16" s="13">
        <f t="shared" si="21"/>
        <v>67372.599999999991</v>
      </c>
      <c r="G16" s="13">
        <f t="shared" si="21"/>
        <v>59256.270000000004</v>
      </c>
      <c r="H16" s="13">
        <f t="shared" si="21"/>
        <v>62554.399999999994</v>
      </c>
      <c r="I16" s="13">
        <f t="shared" si="21"/>
        <v>62257.839999999989</v>
      </c>
      <c r="J16" s="13">
        <f t="shared" si="21"/>
        <v>89710.98</v>
      </c>
      <c r="K16" s="13">
        <f t="shared" si="21"/>
        <v>74838.569999999992</v>
      </c>
      <c r="L16" s="13">
        <f t="shared" si="21"/>
        <v>84243.34</v>
      </c>
      <c r="M16" s="13">
        <f t="shared" si="21"/>
        <v>80638.700000000012</v>
      </c>
      <c r="N16" s="13">
        <f>SUM(B16:M16)</f>
        <v>834375.46</v>
      </c>
    </row>
    <row r="17" spans="1:15" ht="24" customHeight="1" thickBot="1" x14ac:dyDescent="0.3">
      <c r="A17" s="4" t="s">
        <v>28</v>
      </c>
      <c r="B17" s="11">
        <f>50984.13+473.34+1310.26</f>
        <v>52767.729999999996</v>
      </c>
      <c r="C17" s="11">
        <f>53506.07+385.99+1064.53</f>
        <v>54956.59</v>
      </c>
      <c r="D17" s="11">
        <f>58376.32+435.05+1208.61</f>
        <v>60019.98</v>
      </c>
      <c r="E17" s="11">
        <f>57232.43+433.88+1201.33</f>
        <v>58867.64</v>
      </c>
      <c r="F17" s="11">
        <f>57782.56+396.17+1096.41</f>
        <v>59275.14</v>
      </c>
      <c r="G17" s="11">
        <f>52709.41+372.57+1034.2</f>
        <v>54116.18</v>
      </c>
      <c r="H17" s="11">
        <f>54077.2+399.28+1103.18</f>
        <v>55579.659999999996</v>
      </c>
      <c r="I17" s="11">
        <f>52674.43+192.15+1039.56+183.81</f>
        <v>54089.95</v>
      </c>
      <c r="J17" s="11">
        <f>70090.54+193.16+2449.62</f>
        <v>72733.319999999992</v>
      </c>
      <c r="K17" s="11">
        <f>68501.06+561.53</f>
        <v>69062.59</v>
      </c>
      <c r="L17" s="11">
        <f>74360.85+1477.98</f>
        <v>75838.83</v>
      </c>
      <c r="M17" s="11">
        <f>66129.07+1382.6</f>
        <v>67511.670000000013</v>
      </c>
      <c r="N17" s="11">
        <f>SUM(B17:M17)</f>
        <v>734819.28</v>
      </c>
    </row>
    <row r="18" spans="1:15" ht="26.25" customHeight="1" thickBot="1" x14ac:dyDescent="0.3">
      <c r="A18" s="4" t="s">
        <v>16</v>
      </c>
      <c r="B18" s="11">
        <v>0</v>
      </c>
      <c r="C18" s="11">
        <v>1750</v>
      </c>
      <c r="D18" s="11">
        <v>0</v>
      </c>
      <c r="E18" s="11">
        <v>0</v>
      </c>
      <c r="F18" s="11">
        <v>1759.57</v>
      </c>
      <c r="G18" s="11">
        <v>0</v>
      </c>
      <c r="H18" s="11">
        <v>0</v>
      </c>
      <c r="I18" s="11">
        <v>0</v>
      </c>
      <c r="J18" s="11">
        <v>1700</v>
      </c>
      <c r="K18" s="11">
        <v>0</v>
      </c>
      <c r="L18" s="11">
        <v>0</v>
      </c>
      <c r="M18" s="11">
        <v>1700</v>
      </c>
      <c r="N18" s="11">
        <f t="shared" ref="N18:N24" si="22">SUM(B18:M18)</f>
        <v>6909.57</v>
      </c>
    </row>
    <row r="19" spans="1:15" ht="26.25" customHeight="1" thickBot="1" x14ac:dyDescent="0.3">
      <c r="A19" s="4" t="s">
        <v>17</v>
      </c>
      <c r="B19" s="11">
        <v>52.69</v>
      </c>
      <c r="C19" s="11">
        <v>4.12</v>
      </c>
      <c r="D19" s="11">
        <v>165.43</v>
      </c>
      <c r="E19" s="11">
        <v>29.12</v>
      </c>
      <c r="F19" s="11">
        <v>76.930000000000007</v>
      </c>
      <c r="G19" s="11">
        <v>0</v>
      </c>
      <c r="H19" s="11">
        <v>9.1300000000000008</v>
      </c>
      <c r="I19" s="11">
        <v>0</v>
      </c>
      <c r="J19" s="11">
        <v>68.14</v>
      </c>
      <c r="K19" s="11">
        <v>121.22</v>
      </c>
      <c r="L19" s="11">
        <v>637.78</v>
      </c>
      <c r="M19" s="11">
        <v>20.36</v>
      </c>
      <c r="N19" s="11">
        <f t="shared" si="22"/>
        <v>1184.9199999999998</v>
      </c>
    </row>
    <row r="20" spans="1:15" ht="26.25" customHeight="1" thickBot="1" x14ac:dyDescent="0.3">
      <c r="A20" s="4" t="s">
        <v>18</v>
      </c>
      <c r="B20" s="11">
        <v>10.92</v>
      </c>
      <c r="C20" s="11">
        <v>60.16</v>
      </c>
      <c r="D20" s="11">
        <v>252.34</v>
      </c>
      <c r="E20" s="11">
        <v>258.13</v>
      </c>
      <c r="F20" s="11">
        <f>257.54+7.86</f>
        <v>265.40000000000003</v>
      </c>
      <c r="G20" s="11">
        <v>240.43</v>
      </c>
      <c r="H20" s="11">
        <v>245.91</v>
      </c>
      <c r="I20" s="11">
        <v>240.84</v>
      </c>
      <c r="J20" s="11">
        <v>278.70999999999998</v>
      </c>
      <c r="K20" s="11">
        <v>273.39999999999998</v>
      </c>
      <c r="L20" s="11">
        <v>211.14</v>
      </c>
      <c r="M20" s="11">
        <v>177.02</v>
      </c>
      <c r="N20" s="11">
        <f t="shared" si="22"/>
        <v>2514.4</v>
      </c>
    </row>
    <row r="21" spans="1:15" ht="26.25" customHeight="1" thickBot="1" x14ac:dyDescent="0.3">
      <c r="A21" s="4" t="s">
        <v>19</v>
      </c>
      <c r="B21" s="11">
        <v>965.48</v>
      </c>
      <c r="C21" s="11">
        <v>2093.4899999999998</v>
      </c>
      <c r="D21" s="11">
        <v>579.12</v>
      </c>
      <c r="E21" s="11">
        <v>92.05</v>
      </c>
      <c r="F21" s="11">
        <f>1118.45+41.86</f>
        <v>1160.31</v>
      </c>
      <c r="G21" s="11">
        <v>41.62</v>
      </c>
      <c r="H21" s="11">
        <v>575.88</v>
      </c>
      <c r="I21" s="11">
        <v>1759.2</v>
      </c>
      <c r="J21" s="11">
        <v>1965.59</v>
      </c>
      <c r="K21" s="11">
        <v>174.69</v>
      </c>
      <c r="L21" s="11">
        <v>1870.58</v>
      </c>
      <c r="M21" s="11">
        <v>2300.9299999999998</v>
      </c>
      <c r="N21" s="11">
        <f t="shared" si="22"/>
        <v>13578.94</v>
      </c>
    </row>
    <row r="22" spans="1:15" ht="26.25" customHeight="1" thickBot="1" x14ac:dyDescent="0.3">
      <c r="A22" s="4" t="s">
        <v>43</v>
      </c>
      <c r="B22" s="11">
        <v>4155.6099999999997</v>
      </c>
      <c r="C22" s="11">
        <v>3863.73</v>
      </c>
      <c r="D22" s="11">
        <v>3845.98</v>
      </c>
      <c r="E22" s="11">
        <v>3979.29</v>
      </c>
      <c r="F22" s="11">
        <f>3801.32+60</f>
        <v>3861.32</v>
      </c>
      <c r="G22" s="11">
        <v>3927.01</v>
      </c>
      <c r="H22" s="11">
        <v>5204.18</v>
      </c>
      <c r="I22" s="11">
        <v>5237.01</v>
      </c>
      <c r="J22" s="11">
        <v>4569.08</v>
      </c>
      <c r="K22" s="11">
        <v>4244.45</v>
      </c>
      <c r="L22" s="11">
        <v>4690.8999999999996</v>
      </c>
      <c r="M22" s="11">
        <v>4382.1000000000004</v>
      </c>
      <c r="N22" s="11">
        <f t="shared" si="22"/>
        <v>51960.66</v>
      </c>
    </row>
    <row r="23" spans="1:15" ht="26.25" customHeight="1" thickBot="1" x14ac:dyDescent="0.3">
      <c r="A23" s="4" t="s">
        <v>26</v>
      </c>
      <c r="B23" s="11">
        <v>370.45</v>
      </c>
      <c r="C23" s="11">
        <v>336.05</v>
      </c>
      <c r="D23" s="11">
        <v>367.11</v>
      </c>
      <c r="E23" s="11">
        <v>359.55</v>
      </c>
      <c r="F23" s="11">
        <f>363.12+10.81</f>
        <v>373.93</v>
      </c>
      <c r="G23" s="11">
        <v>331.03</v>
      </c>
      <c r="H23" s="11">
        <v>339.64</v>
      </c>
      <c r="I23" s="11">
        <v>330.84</v>
      </c>
      <c r="J23" s="11">
        <v>376.14</v>
      </c>
      <c r="K23" s="11">
        <v>362.22</v>
      </c>
      <c r="L23" s="11">
        <v>394.11</v>
      </c>
      <c r="M23" s="11">
        <v>346.62</v>
      </c>
      <c r="N23" s="11">
        <f t="shared" si="22"/>
        <v>4287.6900000000005</v>
      </c>
    </row>
    <row r="24" spans="1:15" ht="26.25" customHeight="1" thickBot="1" x14ac:dyDescent="0.3">
      <c r="A24" s="4" t="s">
        <v>14</v>
      </c>
      <c r="B24" s="14">
        <v>900</v>
      </c>
      <c r="C24" s="14">
        <v>900</v>
      </c>
      <c r="D24" s="14">
        <v>900</v>
      </c>
      <c r="E24" s="14">
        <v>600</v>
      </c>
      <c r="F24" s="14">
        <v>600</v>
      </c>
      <c r="G24" s="14">
        <v>600</v>
      </c>
      <c r="H24" s="14">
        <v>600</v>
      </c>
      <c r="I24" s="14">
        <v>600</v>
      </c>
      <c r="J24" s="14">
        <f>1020+7000</f>
        <v>8020</v>
      </c>
      <c r="K24" s="11">
        <v>600</v>
      </c>
      <c r="L24" s="11">
        <v>600</v>
      </c>
      <c r="M24" s="11">
        <v>4200</v>
      </c>
      <c r="N24" s="11">
        <f t="shared" si="22"/>
        <v>19120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3357.9*0.55</f>
        <v>1846.8450000000003</v>
      </c>
      <c r="C26" s="11">
        <f t="shared" ref="C26:K26" si="23">3357.9*0.55</f>
        <v>1846.8450000000003</v>
      </c>
      <c r="D26" s="11">
        <f t="shared" si="23"/>
        <v>1846.8450000000003</v>
      </c>
      <c r="E26" s="11">
        <f t="shared" si="23"/>
        <v>1846.8450000000003</v>
      </c>
      <c r="F26" s="11">
        <f t="shared" si="23"/>
        <v>1846.8450000000003</v>
      </c>
      <c r="G26" s="11">
        <f t="shared" si="23"/>
        <v>1846.8450000000003</v>
      </c>
      <c r="H26" s="11">
        <f t="shared" si="23"/>
        <v>1846.8450000000003</v>
      </c>
      <c r="I26" s="11">
        <f t="shared" si="23"/>
        <v>1846.8450000000003</v>
      </c>
      <c r="J26" s="11">
        <f t="shared" si="23"/>
        <v>1846.8450000000003</v>
      </c>
      <c r="K26" s="11">
        <f t="shared" si="23"/>
        <v>1846.8450000000003</v>
      </c>
      <c r="L26" s="11">
        <f>3357.9*0.6</f>
        <v>2014.74</v>
      </c>
      <c r="M26" s="11">
        <f>3357.9*0.6</f>
        <v>2014.74</v>
      </c>
      <c r="N26" s="11">
        <f t="shared" ref="N26:N32" si="24">SUM(B26:M26)</f>
        <v>22497.930000000011</v>
      </c>
    </row>
    <row r="27" spans="1:15" ht="22.5" customHeight="1" thickBot="1" x14ac:dyDescent="0.3">
      <c r="A27" s="4" t="s">
        <v>2</v>
      </c>
      <c r="B27" s="11">
        <f>3357.9*0.17</f>
        <v>570.84300000000007</v>
      </c>
      <c r="C27" s="11">
        <f t="shared" ref="C27:M27" si="25">3357.9*0.17</f>
        <v>570.84300000000007</v>
      </c>
      <c r="D27" s="11">
        <f t="shared" si="25"/>
        <v>570.84300000000007</v>
      </c>
      <c r="E27" s="11">
        <f t="shared" si="25"/>
        <v>570.84300000000007</v>
      </c>
      <c r="F27" s="11">
        <f t="shared" si="25"/>
        <v>570.84300000000007</v>
      </c>
      <c r="G27" s="11">
        <f t="shared" si="25"/>
        <v>570.84300000000007</v>
      </c>
      <c r="H27" s="11">
        <f t="shared" si="25"/>
        <v>570.84300000000007</v>
      </c>
      <c r="I27" s="11">
        <f t="shared" si="25"/>
        <v>570.84300000000007</v>
      </c>
      <c r="J27" s="11">
        <f t="shared" si="25"/>
        <v>570.84300000000007</v>
      </c>
      <c r="K27" s="11">
        <f t="shared" si="25"/>
        <v>570.84300000000007</v>
      </c>
      <c r="L27" s="11">
        <f t="shared" si="25"/>
        <v>570.84300000000007</v>
      </c>
      <c r="M27" s="11">
        <f t="shared" si="25"/>
        <v>570.84300000000007</v>
      </c>
      <c r="N27" s="11">
        <f t="shared" si="24"/>
        <v>6850.1159999999991</v>
      </c>
    </row>
    <row r="28" spans="1:15" ht="21" customHeight="1" thickBot="1" x14ac:dyDescent="0.3">
      <c r="A28" s="4" t="s">
        <v>3</v>
      </c>
      <c r="B28" s="11">
        <f>67337.63*2.3%</f>
        <v>1548.76549</v>
      </c>
      <c r="C28" s="11">
        <f>65403.19*2.3%</f>
        <v>1504.2733700000001</v>
      </c>
      <c r="D28" s="11">
        <f>64997.09*2.3%</f>
        <v>1494.9330699999998</v>
      </c>
      <c r="E28" s="11">
        <f>66133.49*2.3%</f>
        <v>1521.0702700000002</v>
      </c>
      <c r="F28" s="11">
        <f>64997.09*2.3%</f>
        <v>1494.9330699999998</v>
      </c>
      <c r="G28" s="11">
        <f>65627.69*2.3%</f>
        <v>1509.43687</v>
      </c>
      <c r="H28" s="11">
        <f>67027.76*2.3%</f>
        <v>1541.6384799999998</v>
      </c>
      <c r="I28" s="11">
        <f>79733.18*2.3%</f>
        <v>1833.8631399999997</v>
      </c>
      <c r="J28" s="11">
        <f>75466.65*2.3%</f>
        <v>1735.7329499999998</v>
      </c>
      <c r="K28" s="11">
        <f>78967.3*2.3%</f>
        <v>1816.2479000000001</v>
      </c>
      <c r="L28" s="11">
        <f>78860.33*2.3%</f>
        <v>1813.7875899999999</v>
      </c>
      <c r="M28" s="11">
        <f>82198.48*2.3%</f>
        <v>1890.56504</v>
      </c>
      <c r="N28" s="11">
        <f t="shared" si="24"/>
        <v>19705.247240000001</v>
      </c>
    </row>
    <row r="29" spans="1:15" ht="23.25" customHeight="1" thickBot="1" x14ac:dyDescent="0.3">
      <c r="A29" s="4" t="s">
        <v>4</v>
      </c>
      <c r="B29" s="11">
        <f>58322.88*3%</f>
        <v>1749.6863999999998</v>
      </c>
      <c r="C29" s="11">
        <f>61314.14*3%</f>
        <v>1839.4241999999999</v>
      </c>
      <c r="D29" s="11">
        <f>65229.96*3%</f>
        <v>1956.8987999999999</v>
      </c>
      <c r="E29" s="11">
        <f>63585.78*3%</f>
        <v>1907.5734</v>
      </c>
      <c r="F29" s="11">
        <f>64892.5*3%</f>
        <v>1946.7749999999999</v>
      </c>
      <c r="G29" s="11">
        <f>58656.27*3%</f>
        <v>1759.6880999999998</v>
      </c>
      <c r="H29" s="11">
        <f>61954.4*3%</f>
        <v>1858.6320000000001</v>
      </c>
      <c r="I29" s="11">
        <f>61657.84*3%</f>
        <v>1849.7351999999998</v>
      </c>
      <c r="J29" s="11">
        <f>79990.98*3%</f>
        <v>2399.7293999999997</v>
      </c>
      <c r="K29" s="11">
        <f>74238.57*3%</f>
        <v>2227.1570999999999</v>
      </c>
      <c r="L29" s="11">
        <f>83643.34*3%</f>
        <v>2509.3001999999997</v>
      </c>
      <c r="M29" s="11">
        <f>74738.7*3%</f>
        <v>2242.1609999999996</v>
      </c>
      <c r="N29" s="11">
        <f t="shared" si="24"/>
        <v>24246.760799999996</v>
      </c>
    </row>
    <row r="30" spans="1:15" ht="23.25" customHeight="1" thickBot="1" x14ac:dyDescent="0.3">
      <c r="A30" s="4" t="s">
        <v>9</v>
      </c>
      <c r="B30" s="20">
        <f t="shared" ref="B30:G30" si="26">3357.9*8.5</f>
        <v>28542.15</v>
      </c>
      <c r="C30" s="20">
        <f t="shared" si="26"/>
        <v>28542.15</v>
      </c>
      <c r="D30" s="20">
        <f t="shared" si="26"/>
        <v>28542.15</v>
      </c>
      <c r="E30" s="20">
        <f t="shared" si="26"/>
        <v>28542.15</v>
      </c>
      <c r="F30" s="20">
        <f t="shared" si="26"/>
        <v>28542.15</v>
      </c>
      <c r="G30" s="20">
        <f t="shared" si="26"/>
        <v>28542.15</v>
      </c>
      <c r="H30" s="20">
        <f>3357.9*9.7</f>
        <v>32571.629999999997</v>
      </c>
      <c r="I30" s="20">
        <f>3357.9*9.7</f>
        <v>32571.629999999997</v>
      </c>
      <c r="J30" s="20">
        <f>3357.9*9.7</f>
        <v>32571.629999999997</v>
      </c>
      <c r="K30" s="20">
        <f t="shared" ref="K30:M30" si="27">3357.9*9.7</f>
        <v>32571.629999999997</v>
      </c>
      <c r="L30" s="20">
        <f t="shared" si="27"/>
        <v>32571.629999999997</v>
      </c>
      <c r="M30" s="20">
        <f t="shared" si="27"/>
        <v>32571.629999999997</v>
      </c>
      <c r="N30" s="11">
        <f t="shared" si="24"/>
        <v>366682.68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f>133.8+7.63</f>
        <v>141.43</v>
      </c>
      <c r="J31" s="11">
        <f>645.6+47.02</f>
        <v>692.62</v>
      </c>
      <c r="K31" s="11">
        <v>0</v>
      </c>
      <c r="L31" s="11">
        <v>0</v>
      </c>
      <c r="M31" s="11">
        <v>0</v>
      </c>
      <c r="N31" s="11">
        <f t="shared" si="24"/>
        <v>834.05</v>
      </c>
    </row>
    <row r="32" spans="1:15" ht="26.25" customHeight="1" thickBot="1" x14ac:dyDescent="0.3">
      <c r="A32" s="4" t="s">
        <v>21</v>
      </c>
      <c r="B32" s="11">
        <v>275.26</v>
      </c>
      <c r="C32" s="11">
        <v>275.26</v>
      </c>
      <c r="D32" s="11">
        <v>275.26</v>
      </c>
      <c r="E32" s="11">
        <v>275.26</v>
      </c>
      <c r="F32" s="11">
        <v>275.26</v>
      </c>
      <c r="G32" s="11">
        <v>275.26</v>
      </c>
      <c r="H32" s="11">
        <v>285.72000000000003</v>
      </c>
      <c r="I32" s="11">
        <v>285.72000000000003</v>
      </c>
      <c r="J32" s="11">
        <v>285.72000000000003</v>
      </c>
      <c r="K32" s="11">
        <v>285.72000000000003</v>
      </c>
      <c r="L32" s="11">
        <v>285.72000000000003</v>
      </c>
      <c r="M32" s="11">
        <v>386.89</v>
      </c>
      <c r="N32" s="11">
        <f t="shared" si="24"/>
        <v>3467.0500000000006</v>
      </c>
    </row>
    <row r="33" spans="1:14" ht="26.25" customHeight="1" thickBot="1" x14ac:dyDescent="0.3">
      <c r="A33" s="4" t="s">
        <v>22</v>
      </c>
      <c r="B33" s="11">
        <v>418.38</v>
      </c>
      <c r="C33" s="11">
        <v>0</v>
      </c>
      <c r="D33" s="11">
        <v>1170.73</v>
      </c>
      <c r="E33" s="11">
        <v>0</v>
      </c>
      <c r="F33" s="11">
        <v>649.59</v>
      </c>
      <c r="G33" s="11">
        <v>2091.9</v>
      </c>
      <c r="H33" s="11">
        <v>2076.4499999999998</v>
      </c>
      <c r="I33" s="11">
        <v>30.48</v>
      </c>
      <c r="J33" s="11">
        <v>1935.48</v>
      </c>
      <c r="K33" s="11">
        <v>2583.1799999999998</v>
      </c>
      <c r="L33" s="11">
        <v>5901.69</v>
      </c>
      <c r="M33" s="11">
        <v>0</v>
      </c>
      <c r="N33" s="11">
        <f t="shared" ref="N33:N39" si="28">SUM(B33:M33)</f>
        <v>16857.88</v>
      </c>
    </row>
    <row r="34" spans="1:14" ht="26.25" customHeight="1" thickBot="1" x14ac:dyDescent="0.3">
      <c r="A34" s="4" t="s">
        <v>26</v>
      </c>
      <c r="B34" s="11">
        <v>377.42</v>
      </c>
      <c r="C34" s="11">
        <v>377.42</v>
      </c>
      <c r="D34" s="11">
        <v>377.42</v>
      </c>
      <c r="E34" s="11">
        <v>377.42</v>
      </c>
      <c r="F34" s="11">
        <v>377.42</v>
      </c>
      <c r="G34" s="11">
        <v>377.42</v>
      </c>
      <c r="H34" s="11">
        <v>377.42</v>
      </c>
      <c r="I34" s="11">
        <v>377.42</v>
      </c>
      <c r="J34" s="11">
        <v>377.42</v>
      </c>
      <c r="K34" s="11">
        <v>377.42</v>
      </c>
      <c r="L34" s="11">
        <v>377.42</v>
      </c>
      <c r="M34" s="11">
        <v>497.69</v>
      </c>
      <c r="N34" s="11">
        <f>SUM(B34:M34)</f>
        <v>4649.3099999999995</v>
      </c>
    </row>
    <row r="35" spans="1:14" ht="22.5" customHeight="1" thickBot="1" x14ac:dyDescent="0.3">
      <c r="A35" s="4" t="s">
        <v>6</v>
      </c>
      <c r="B35" s="20">
        <f t="shared" ref="B35:H35" si="29">3357.9*2.69</f>
        <v>9032.7510000000002</v>
      </c>
      <c r="C35" s="20">
        <f t="shared" si="29"/>
        <v>9032.7510000000002</v>
      </c>
      <c r="D35" s="20">
        <f t="shared" si="29"/>
        <v>9032.7510000000002</v>
      </c>
      <c r="E35" s="20">
        <f t="shared" si="29"/>
        <v>9032.7510000000002</v>
      </c>
      <c r="F35" s="20">
        <f t="shared" si="29"/>
        <v>9032.7510000000002</v>
      </c>
      <c r="G35" s="20">
        <f t="shared" si="29"/>
        <v>9032.7510000000002</v>
      </c>
      <c r="H35" s="20">
        <f t="shared" si="29"/>
        <v>9032.7510000000002</v>
      </c>
      <c r="I35" s="20">
        <f>3357.9*3.22</f>
        <v>10812.438</v>
      </c>
      <c r="J35" s="20">
        <f>3357.9*3.22</f>
        <v>10812.438</v>
      </c>
      <c r="K35" s="20">
        <f t="shared" ref="K35:M35" si="30">3357.9*3.22</f>
        <v>10812.438</v>
      </c>
      <c r="L35" s="20">
        <f t="shared" si="30"/>
        <v>10812.438</v>
      </c>
      <c r="M35" s="20">
        <f t="shared" si="30"/>
        <v>10812.438</v>
      </c>
      <c r="N35" s="11">
        <f>SUM(B35:M35)</f>
        <v>117291.44699999999</v>
      </c>
    </row>
    <row r="36" spans="1:14" ht="22.5" customHeight="1" thickBot="1" x14ac:dyDescent="0.3">
      <c r="A36" s="4" t="s">
        <v>25</v>
      </c>
      <c r="B36" s="11">
        <v>2000</v>
      </c>
      <c r="C36" s="11">
        <v>2000</v>
      </c>
      <c r="D36" s="11">
        <v>2000</v>
      </c>
      <c r="E36" s="11">
        <v>2000</v>
      </c>
      <c r="F36" s="11">
        <v>2000</v>
      </c>
      <c r="G36" s="11">
        <v>2000</v>
      </c>
      <c r="H36" s="11">
        <v>2000</v>
      </c>
      <c r="I36" s="11">
        <v>2000</v>
      </c>
      <c r="J36" s="11">
        <v>2000</v>
      </c>
      <c r="K36" s="11">
        <v>2000</v>
      </c>
      <c r="L36" s="11">
        <v>2000</v>
      </c>
      <c r="M36" s="11">
        <v>2000</v>
      </c>
      <c r="N36" s="11">
        <f t="shared" si="28"/>
        <v>24000</v>
      </c>
    </row>
    <row r="37" spans="1:14" ht="22.5" customHeight="1" thickBot="1" x14ac:dyDescent="0.3">
      <c r="A37" s="4" t="s">
        <v>27</v>
      </c>
      <c r="B37" s="11">
        <f>1140</f>
        <v>1140</v>
      </c>
      <c r="C37" s="11">
        <f>1140</f>
        <v>1140</v>
      </c>
      <c r="D37" s="11">
        <f>1140</f>
        <v>1140</v>
      </c>
      <c r="E37" s="11">
        <f>1140</f>
        <v>1140</v>
      </c>
      <c r="F37" s="11">
        <f>1140</f>
        <v>1140</v>
      </c>
      <c r="G37" s="11">
        <v>900</v>
      </c>
      <c r="H37" s="11">
        <v>900</v>
      </c>
      <c r="I37" s="11">
        <v>900</v>
      </c>
      <c r="J37" s="11">
        <v>900</v>
      </c>
      <c r="K37" s="11">
        <f>900</f>
        <v>900</v>
      </c>
      <c r="L37" s="11">
        <f>900</f>
        <v>900</v>
      </c>
      <c r="M37" s="11">
        <f>900</f>
        <v>900</v>
      </c>
      <c r="N37" s="11">
        <f t="shared" si="28"/>
        <v>12000</v>
      </c>
    </row>
    <row r="38" spans="1:14" ht="21.75" customHeight="1" thickBot="1" x14ac:dyDescent="0.3">
      <c r="A38" s="4" t="s">
        <v>43</v>
      </c>
      <c r="B38" s="11">
        <v>4295</v>
      </c>
      <c r="C38" s="11">
        <v>3720</v>
      </c>
      <c r="D38" s="11">
        <v>3640</v>
      </c>
      <c r="E38" s="11">
        <v>3770</v>
      </c>
      <c r="F38" s="11">
        <v>3540</v>
      </c>
      <c r="G38" s="11">
        <v>3600</v>
      </c>
      <c r="H38" s="11">
        <v>5170</v>
      </c>
      <c r="I38" s="11">
        <v>5140</v>
      </c>
      <c r="J38" s="11">
        <v>4145</v>
      </c>
      <c r="K38" s="11">
        <v>4080</v>
      </c>
      <c r="L38" s="11">
        <v>4165</v>
      </c>
      <c r="M38" s="11">
        <v>4365</v>
      </c>
      <c r="N38" s="11">
        <f t="shared" si="28"/>
        <v>49630</v>
      </c>
    </row>
    <row r="39" spans="1:14" ht="24" customHeight="1" thickBot="1" x14ac:dyDescent="0.3">
      <c r="A39" s="4" t="s">
        <v>10</v>
      </c>
      <c r="B39" s="11">
        <v>0</v>
      </c>
      <c r="C39" s="11">
        <f>105+8608.8+13477.5</f>
        <v>22191.3</v>
      </c>
      <c r="D39" s="11">
        <f>1272.9</f>
        <v>1272.9000000000001</v>
      </c>
      <c r="E39" s="11">
        <f>2102.1+1588.6</f>
        <v>3690.7</v>
      </c>
      <c r="F39" s="11">
        <f>545.8</f>
        <v>545.79999999999995</v>
      </c>
      <c r="G39" s="11">
        <v>0</v>
      </c>
      <c r="H39" s="11">
        <v>0</v>
      </c>
      <c r="I39" s="11">
        <f>85</f>
        <v>85</v>
      </c>
      <c r="J39" s="11">
        <v>0</v>
      </c>
      <c r="K39" s="11">
        <f>4849.8+3000</f>
        <v>7849.8</v>
      </c>
      <c r="L39" s="11">
        <f>10129.8+3300.8+95015+95015</f>
        <v>203460.6</v>
      </c>
      <c r="M39" s="11">
        <v>0</v>
      </c>
      <c r="N39" s="11">
        <f t="shared" si="28"/>
        <v>239096.1</v>
      </c>
    </row>
    <row r="40" spans="1:14" ht="22.5" customHeight="1" thickBot="1" x14ac:dyDescent="0.3">
      <c r="A40" s="9" t="s">
        <v>23</v>
      </c>
      <c r="B40" s="10">
        <f>SUM(B26:B39)</f>
        <v>51797.100890000002</v>
      </c>
      <c r="C40" s="10">
        <f t="shared" ref="C40:J40" si="31">SUM(C26:C39)</f>
        <v>73040.266570000007</v>
      </c>
      <c r="D40" s="10">
        <f t="shared" si="31"/>
        <v>53320.730870000007</v>
      </c>
      <c r="E40" s="10">
        <f t="shared" si="31"/>
        <v>54674.612670000002</v>
      </c>
      <c r="F40" s="10">
        <f t="shared" si="31"/>
        <v>51962.367070000008</v>
      </c>
      <c r="G40" s="10">
        <f t="shared" si="31"/>
        <v>52506.293969999999</v>
      </c>
      <c r="H40" s="10">
        <f t="shared" si="31"/>
        <v>58231.929479999992</v>
      </c>
      <c r="I40" s="10">
        <f t="shared" si="31"/>
        <v>58445.404340000001</v>
      </c>
      <c r="J40" s="10">
        <f t="shared" si="31"/>
        <v>60273.458350000008</v>
      </c>
      <c r="K40" s="10">
        <f t="shared" ref="K40:M40" si="32">SUM(K26:K39)</f>
        <v>67921.281000000003</v>
      </c>
      <c r="L40" s="10">
        <f t="shared" si="32"/>
        <v>267383.16879000003</v>
      </c>
      <c r="M40" s="10">
        <f t="shared" si="32"/>
        <v>58251.957040000001</v>
      </c>
      <c r="N40" s="10">
        <f>SUM(B40:M40)</f>
        <v>907808.57104000007</v>
      </c>
    </row>
    <row r="41" spans="1:14" ht="23.25" customHeight="1" thickBot="1" x14ac:dyDescent="0.3">
      <c r="A41" s="4" t="s">
        <v>5</v>
      </c>
      <c r="B41" s="18">
        <f t="shared" ref="B41:N41" si="33">B16-B40</f>
        <v>7425.7791099999959</v>
      </c>
      <c r="C41" s="18">
        <f t="shared" si="33"/>
        <v>-9076.1265700000004</v>
      </c>
      <c r="D41" s="18">
        <f t="shared" si="33"/>
        <v>12809.22913</v>
      </c>
      <c r="E41" s="18">
        <f t="shared" si="33"/>
        <v>9511.1673300000039</v>
      </c>
      <c r="F41" s="18">
        <f t="shared" si="33"/>
        <v>15410.232929999984</v>
      </c>
      <c r="G41" s="18">
        <f t="shared" si="33"/>
        <v>6749.9760300000053</v>
      </c>
      <c r="H41" s="18">
        <f t="shared" si="33"/>
        <v>4322.4705200000026</v>
      </c>
      <c r="I41" s="18">
        <f t="shared" si="33"/>
        <v>3812.4356599999883</v>
      </c>
      <c r="J41" s="18">
        <f t="shared" si="33"/>
        <v>29437.521649999988</v>
      </c>
      <c r="K41" s="18">
        <f t="shared" si="33"/>
        <v>6917.2889999999898</v>
      </c>
      <c r="L41" s="18">
        <f t="shared" si="33"/>
        <v>-183139.82879000003</v>
      </c>
      <c r="M41" s="18">
        <f t="shared" si="33"/>
        <v>22386.74296000001</v>
      </c>
      <c r="N41" s="11">
        <f t="shared" si="33"/>
        <v>-73433.111040000105</v>
      </c>
    </row>
    <row r="42" spans="1:14" ht="23.25" customHeight="1" thickBot="1" x14ac:dyDescent="0.3">
      <c r="A42" s="4" t="s">
        <v>7</v>
      </c>
      <c r="B42" s="14">
        <f t="shared" ref="B42:N42" si="34">B5+B41</f>
        <v>-218693.45089000001</v>
      </c>
      <c r="C42" s="14">
        <f t="shared" si="34"/>
        <v>-227769.57746</v>
      </c>
      <c r="D42" s="14">
        <f t="shared" si="34"/>
        <v>-214960.34833000001</v>
      </c>
      <c r="E42" s="14">
        <f t="shared" si="34"/>
        <v>-205449.18100000001</v>
      </c>
      <c r="F42" s="14">
        <f t="shared" si="34"/>
        <v>-190038.94807000004</v>
      </c>
      <c r="G42" s="14">
        <f t="shared" si="34"/>
        <v>-183288.97204000002</v>
      </c>
      <c r="H42" s="14">
        <f t="shared" si="34"/>
        <v>-178966.50152000002</v>
      </c>
      <c r="I42" s="14">
        <f t="shared" si="34"/>
        <v>-175154.06586000003</v>
      </c>
      <c r="J42" s="14">
        <f t="shared" si="34"/>
        <v>-145716.54421000005</v>
      </c>
      <c r="K42" s="14">
        <f t="shared" si="34"/>
        <v>-138799.25521000006</v>
      </c>
      <c r="L42" s="14">
        <f t="shared" si="34"/>
        <v>-321939.08400000009</v>
      </c>
      <c r="M42" s="14">
        <f t="shared" si="34"/>
        <v>-299552.34104000009</v>
      </c>
      <c r="N42" s="14">
        <f t="shared" si="34"/>
        <v>-299552.34104000009</v>
      </c>
    </row>
    <row r="43" spans="1:14" ht="27" customHeight="1" thickBot="1" x14ac:dyDescent="0.3">
      <c r="A43" s="15" t="s">
        <v>11</v>
      </c>
      <c r="B43" s="19">
        <f t="shared" ref="B43:N43" si="35">B6+B16-B7</f>
        <v>-148575.59000000003</v>
      </c>
      <c r="C43" s="19">
        <f t="shared" si="35"/>
        <v>-153134.68000000002</v>
      </c>
      <c r="D43" s="19">
        <f t="shared" si="35"/>
        <v>-155110.05000000002</v>
      </c>
      <c r="E43" s="19">
        <f t="shared" si="35"/>
        <v>-160200.41000000003</v>
      </c>
      <c r="F43" s="19">
        <f t="shared" si="35"/>
        <v>-160933.14000000004</v>
      </c>
      <c r="G43" s="19">
        <f t="shared" si="35"/>
        <v>-170431.48000000004</v>
      </c>
      <c r="H43" s="19">
        <f t="shared" si="35"/>
        <v>-178074.03000000006</v>
      </c>
      <c r="I43" s="19">
        <f t="shared" si="35"/>
        <v>-199070.47000000006</v>
      </c>
      <c r="J43" s="19">
        <f t="shared" si="35"/>
        <v>-188291.20000000007</v>
      </c>
      <c r="K43" s="19">
        <f t="shared" si="35"/>
        <v>-195955.77000000008</v>
      </c>
      <c r="L43" s="19">
        <f t="shared" si="35"/>
        <v>-194106.64000000007</v>
      </c>
      <c r="M43" s="19">
        <f t="shared" si="35"/>
        <v>-199301.56000000006</v>
      </c>
      <c r="N43" s="19">
        <f t="shared" si="35"/>
        <v>-199301.56000000006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2023-03-06T05:38:03Z</cp:lastPrinted>
  <dcterms:created xsi:type="dcterms:W3CDTF">2011-06-06T03:25:48Z</dcterms:created>
  <dcterms:modified xsi:type="dcterms:W3CDTF">2023-03-21T02:44:41Z</dcterms:modified>
</cp:coreProperties>
</file>