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2" sheetId="1" r:id="rId1"/>
  </sheets>
  <calcPr calcId="144525" refMode="R1C1"/>
</workbook>
</file>

<file path=xl/calcChain.xml><?xml version="1.0" encoding="utf-8"?>
<calcChain xmlns="http://schemas.openxmlformats.org/spreadsheetml/2006/main">
  <c r="M34" i="1" l="1"/>
  <c r="L34" i="1" l="1"/>
  <c r="K34" i="1" l="1"/>
  <c r="K37" i="1" l="1"/>
  <c r="M37" i="1" l="1"/>
  <c r="M29" i="1" l="1"/>
  <c r="L29" i="1"/>
  <c r="K29" i="1"/>
  <c r="L37" i="1" l="1"/>
  <c r="M27" i="1" l="1"/>
  <c r="M16" i="1"/>
  <c r="M26" i="1"/>
  <c r="M8" i="1"/>
  <c r="C37" i="1" l="1"/>
  <c r="L27" i="1" l="1"/>
  <c r="L16" i="1"/>
  <c r="L26" i="1"/>
  <c r="L8" i="1"/>
  <c r="K27" i="1" l="1"/>
  <c r="K16" i="1"/>
  <c r="K26" i="1"/>
  <c r="K8" i="1"/>
  <c r="K33" i="1" l="1"/>
  <c r="L33" i="1"/>
  <c r="M33" i="1"/>
  <c r="K28" i="1"/>
  <c r="L28" i="1"/>
  <c r="M28" i="1"/>
  <c r="K25" i="1"/>
  <c r="L25" i="1"/>
  <c r="M25" i="1"/>
  <c r="M24" i="1"/>
  <c r="L24" i="1"/>
  <c r="K24" i="1"/>
  <c r="J37" i="1" l="1"/>
  <c r="I37" i="1" l="1"/>
  <c r="J29" i="1" l="1"/>
  <c r="I29" i="1"/>
  <c r="H29" i="1"/>
  <c r="I28" i="1" l="1"/>
  <c r="J28" i="1"/>
  <c r="H28" i="1"/>
  <c r="H36" i="1" l="1"/>
  <c r="J27" i="1" l="1"/>
  <c r="J16" i="1"/>
  <c r="J26" i="1"/>
  <c r="J8" i="1"/>
  <c r="H33" i="1"/>
  <c r="I33" i="1"/>
  <c r="J33" i="1"/>
  <c r="H25" i="1"/>
  <c r="I25" i="1"/>
  <c r="J25" i="1"/>
  <c r="H24" i="1"/>
  <c r="I24" i="1"/>
  <c r="J24" i="1"/>
  <c r="B24" i="1"/>
  <c r="G28" i="1"/>
  <c r="I27" i="1" l="1"/>
  <c r="I16" i="1"/>
  <c r="I26" i="1"/>
  <c r="I8" i="1" l="1"/>
  <c r="H27" i="1" l="1"/>
  <c r="H16" i="1"/>
  <c r="H26" i="1"/>
  <c r="H8" i="1"/>
  <c r="F37" i="1" l="1"/>
  <c r="G37" i="1" l="1"/>
  <c r="G29" i="1" l="1"/>
  <c r="F29" i="1"/>
  <c r="F34" i="1" l="1"/>
  <c r="E34" i="1" l="1"/>
  <c r="G27" i="1" l="1"/>
  <c r="G16" i="1"/>
  <c r="G26" i="1"/>
  <c r="G8" i="1"/>
  <c r="F27" i="1" l="1"/>
  <c r="F16" i="1"/>
  <c r="F26" i="1"/>
  <c r="F8" i="1"/>
  <c r="E37" i="1" l="1"/>
  <c r="E27" i="1" l="1"/>
  <c r="E16" i="1"/>
  <c r="E26" i="1"/>
  <c r="E8" i="1"/>
  <c r="E33" i="1" l="1"/>
  <c r="F33" i="1"/>
  <c r="G33" i="1"/>
  <c r="E28" i="1"/>
  <c r="F28" i="1"/>
  <c r="E25" i="1"/>
  <c r="F25" i="1"/>
  <c r="G25" i="1"/>
  <c r="E24" i="1"/>
  <c r="F24" i="1"/>
  <c r="G24" i="1"/>
  <c r="D37" i="1" l="1"/>
  <c r="D34" i="1" l="1"/>
  <c r="C34" i="1" l="1"/>
  <c r="B34" i="1" l="1"/>
  <c r="D27" i="1" l="1"/>
  <c r="D16" i="1"/>
  <c r="D26" i="1"/>
  <c r="D8" i="1"/>
  <c r="B37" i="1" l="1"/>
  <c r="C27" i="1" l="1"/>
  <c r="C16" i="1"/>
  <c r="C26" i="1"/>
  <c r="C8" i="1"/>
  <c r="B27" i="1" l="1"/>
  <c r="B16" i="1"/>
  <c r="B26" i="1"/>
  <c r="B8" i="1"/>
  <c r="C33" i="1" l="1"/>
  <c r="D33" i="1"/>
  <c r="C28" i="1"/>
  <c r="D28" i="1"/>
  <c r="C25" i="1"/>
  <c r="D25" i="1"/>
  <c r="C24" i="1"/>
  <c r="D24" i="1"/>
  <c r="B33" i="1"/>
  <c r="B28" i="1"/>
  <c r="B25" i="1"/>
  <c r="N25" i="1" l="1"/>
  <c r="N26" i="1"/>
  <c r="N27" i="1"/>
  <c r="N28" i="1"/>
  <c r="N29" i="1"/>
  <c r="N30" i="1"/>
  <c r="N31" i="1"/>
  <c r="N32" i="1"/>
  <c r="N33" i="1"/>
  <c r="N34" i="1"/>
  <c r="N35" i="1"/>
  <c r="N36" i="1"/>
  <c r="N37" i="1"/>
  <c r="N24" i="1"/>
  <c r="N9" i="1"/>
  <c r="N10" i="1"/>
  <c r="N11" i="1"/>
  <c r="N12" i="1"/>
  <c r="N13" i="1"/>
  <c r="N14" i="1"/>
  <c r="N8" i="1"/>
  <c r="N6" i="1" l="1"/>
  <c r="N5" i="1"/>
  <c r="N17" i="1" l="1"/>
  <c r="N18" i="1"/>
  <c r="N19" i="1"/>
  <c r="N20" i="1"/>
  <c r="N21" i="1"/>
  <c r="N22" i="1"/>
  <c r="N16" i="1"/>
  <c r="K15" i="1"/>
  <c r="L15" i="1"/>
  <c r="M15" i="1"/>
  <c r="K7" i="1"/>
  <c r="M7" i="1"/>
  <c r="L38" i="1" l="1"/>
  <c r="L39" i="1" s="1"/>
  <c r="M38" i="1"/>
  <c r="M39" i="1" s="1"/>
  <c r="K38" i="1"/>
  <c r="L7" i="1"/>
  <c r="K39" i="1" l="1"/>
  <c r="H15" i="1"/>
  <c r="I15" i="1"/>
  <c r="J15" i="1"/>
  <c r="H7" i="1"/>
  <c r="I7" i="1"/>
  <c r="J7" i="1"/>
  <c r="J38" i="1" l="1"/>
  <c r="J39" i="1" s="1"/>
  <c r="I38" i="1"/>
  <c r="I39" i="1" s="1"/>
  <c r="G15" i="1"/>
  <c r="G7" i="1"/>
  <c r="F15" i="1"/>
  <c r="F7" i="1"/>
  <c r="E15" i="1"/>
  <c r="E7" i="1"/>
  <c r="D15" i="1"/>
  <c r="D7" i="1"/>
  <c r="C15" i="1"/>
  <c r="C7" i="1"/>
  <c r="B15" i="1"/>
  <c r="B7" i="1"/>
  <c r="N7" i="1" l="1"/>
  <c r="N15" i="1"/>
  <c r="D38" i="1"/>
  <c r="D39" i="1" s="1"/>
  <c r="G38" i="1"/>
  <c r="G39" i="1" s="1"/>
  <c r="F38" i="1"/>
  <c r="F39" i="1" s="1"/>
  <c r="H38" i="1"/>
  <c r="E38" i="1"/>
  <c r="B41" i="1"/>
  <c r="C6" i="1" s="1"/>
  <c r="C41" i="1" s="1"/>
  <c r="D6" i="1" s="1"/>
  <c r="D41" i="1" s="1"/>
  <c r="C38" i="1" l="1"/>
  <c r="C39" i="1" s="1"/>
  <c r="N41" i="1"/>
  <c r="E6" i="1"/>
  <c r="E41" i="1" s="1"/>
  <c r="F6" i="1" s="1"/>
  <c r="F41" i="1" s="1"/>
  <c r="G6" i="1" s="1"/>
  <c r="G41" i="1" s="1"/>
  <c r="B38" i="1"/>
  <c r="B39" i="1" s="1"/>
  <c r="B40" i="1" s="1"/>
  <c r="E39" i="1"/>
  <c r="H39" i="1"/>
  <c r="N38" i="1" l="1"/>
  <c r="N39" i="1" s="1"/>
  <c r="N40" i="1" s="1"/>
  <c r="C40" i="1"/>
  <c r="H6" i="1"/>
  <c r="C5" i="1"/>
  <c r="D40" i="1" l="1"/>
  <c r="E40" i="1" s="1"/>
  <c r="D5" i="1"/>
  <c r="H41" i="1"/>
  <c r="I6" i="1" s="1"/>
  <c r="I41" i="1" s="1"/>
  <c r="J6" i="1" s="1"/>
  <c r="E5" i="1" l="1"/>
  <c r="F40" i="1"/>
  <c r="G5" i="1" s="1"/>
  <c r="F5" i="1"/>
  <c r="J41" i="1"/>
  <c r="K6" i="1" s="1"/>
  <c r="G40" i="1" l="1"/>
  <c r="H40" i="1" s="1"/>
  <c r="I40" i="1" s="1"/>
  <c r="J40" i="1" s="1"/>
  <c r="K40" i="1" s="1"/>
  <c r="L40" i="1" s="1"/>
  <c r="M40" i="1" s="1"/>
  <c r="K41" i="1"/>
  <c r="L6" i="1" s="1"/>
  <c r="H5" i="1" l="1"/>
  <c r="L41" i="1"/>
  <c r="M6" i="1" s="1"/>
  <c r="M41" i="1" s="1"/>
  <c r="I5" i="1"/>
  <c r="J5" i="1" l="1"/>
  <c r="K5" i="1" l="1"/>
  <c r="L5" i="1" l="1"/>
  <c r="M5" i="1" l="1"/>
</calcChain>
</file>

<file path=xl/sharedStrings.xml><?xml version="1.0" encoding="utf-8"?>
<sst xmlns="http://schemas.openxmlformats.org/spreadsheetml/2006/main" count="52" uniqueCount="43">
  <si>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</si>
  <si>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</si>
  <si>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</si>
  <si>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</si>
  <si>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</si>
  <si>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</si>
  <si>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</si>
  <si>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</si>
  <si>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</si>
  <si>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</si>
  <si>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</si>
  <si>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</si>
  <si>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</si>
  <si>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</si>
  <si>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</si>
  <si>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</si>
  <si>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</si>
  <si>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</si>
  <si>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</si>
  <si>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</si>
  <si>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</si>
  <si>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</si>
  <si>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</si>
  <si>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</si>
  <si>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</si>
  <si>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общедомовых приборов учета</t>
  </si>
  <si>
    <t>Отведение стоков ОИ</t>
  </si>
  <si>
    <t>Содержание жилья и текущий ремонт,  ОПУ</t>
  </si>
  <si>
    <t>Январь 2022г.</t>
  </si>
  <si>
    <t>Февраль 2022г.</t>
  </si>
  <si>
    <t>Март 2022г.</t>
  </si>
  <si>
    <t>Апрель 2022г.</t>
  </si>
  <si>
    <t>Май 2022г.</t>
  </si>
  <si>
    <t>Июнь 2022г.</t>
  </si>
  <si>
    <t>Июль 2022г.</t>
  </si>
  <si>
    <t>Август 2022г.</t>
  </si>
  <si>
    <t>Сентябрь 2022г.</t>
  </si>
  <si>
    <t>Октябрь 2022г</t>
  </si>
  <si>
    <t>Ноябрь 2022г</t>
  </si>
  <si>
    <t>Декабрь 2022г</t>
  </si>
  <si>
    <t>Всего:                       за  2022г.</t>
  </si>
  <si>
    <t xml:space="preserve">                 ОТЧЕТ по дому Разина, 70 за период 01.01.2022г. по 31.12.2022г.</t>
  </si>
  <si>
    <t>Возмещение расходов совета МКД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</si>
</sst>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7" xfId="0" applyNumberFormat="1" applyFont="1" applyBorder="1" applyAlignment="1">
      <alignment horizontal="left" vertical="top" wrapText="1"/>
    </xf>
    <xf numFmtId="164" fontId="7" fillId="0" borderId="3" xfId="0" applyNumberFormat="1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1"/>
  <sheetViews>
    <sheetView tabSelected="1" topLeftCell="A28" zoomScale="75" workbookViewId="0">
      <selection activeCell="A31" sqref="A31"/>
    </sheetView>
  </sheetViews>
  <sheetFormatPr defaultRowHeight="13.2" x14ac:dyDescent="0.25"/>
  <cols>
    <col min="1" max="1" width="58.6640625" customWidth="1"/>
    <col min="2" max="3" width="14.88671875" customWidth="1"/>
    <col min="4" max="4" width="14.5546875" customWidth="1"/>
    <col min="5" max="5" width="13.6640625" customWidth="1"/>
    <col min="6" max="6" width="15" customWidth="1"/>
    <col min="7" max="7" width="14.33203125" customWidth="1"/>
    <col min="8" max="8" width="14.88671875" customWidth="1"/>
    <col min="9" max="9" width="14.33203125" customWidth="1"/>
    <col min="10" max="13" width="13.6640625" customWidth="1"/>
    <col min="14" max="14" width="16.109375" customWidth="1"/>
  </cols>
  <sheetData>
    <row r="1" spans="1:18" ht="20.25" customHeight="1" x14ac:dyDescent="0.35">
      <c r="A1" s="25" t="s">
        <v>41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28</v>
      </c>
      <c r="C4" s="6" t="s">
        <v>29</v>
      </c>
      <c r="D4" s="6" t="s">
        <v>30</v>
      </c>
      <c r="E4" s="6" t="s">
        <v>31</v>
      </c>
      <c r="F4" s="6" t="s">
        <v>32</v>
      </c>
      <c r="G4" s="6" t="s">
        <v>33</v>
      </c>
      <c r="H4" s="6" t="s">
        <v>34</v>
      </c>
      <c r="I4" s="6" t="s">
        <v>35</v>
      </c>
      <c r="J4" s="6" t="s">
        <v>36</v>
      </c>
      <c r="K4" s="6" t="s">
        <v>37</v>
      </c>
      <c r="L4" s="6" t="s">
        <v>38</v>
      </c>
      <c r="M4" s="6" t="s">
        <v>39</v>
      </c>
      <c r="N4" s="6" t="s">
        <v>40</v>
      </c>
    </row>
    <row r="5" spans="1:18" ht="23.25" customHeight="1" thickBot="1" x14ac:dyDescent="0.3">
      <c r="A5" s="7" t="s">
        <v>16</v>
      </c>
      <c r="B5" s="8">
        <v>-456911.31</v>
      </c>
      <c r="C5" s="8">
        <f t="shared" ref="C5:D6" si="0">B40</f>
        <v>-530953.30041000003</v>
      </c>
      <c r="D5" s="8">
        <f t="shared" si="0"/>
        <v>-540835.58452999999</v>
      </c>
      <c r="E5" s="8">
        <f t="shared" ref="E5:E6" si="1">D40</f>
        <v>-509977.58094999997</v>
      </c>
      <c r="F5" s="8">
        <f t="shared" ref="F5:F6" si="2">E40</f>
        <v>-496469.80109999998</v>
      </c>
      <c r="G5" s="8">
        <f t="shared" ref="G5:G6" si="3">F40</f>
        <v>-504708.17736999999</v>
      </c>
      <c r="H5" s="8">
        <f t="shared" ref="H5:H6" si="4">G40</f>
        <v>-503618.77237000002</v>
      </c>
      <c r="I5" s="8">
        <f t="shared" ref="I5:I6" si="5">H40</f>
        <v>-515705.03978000005</v>
      </c>
      <c r="J5" s="8">
        <f t="shared" ref="J5:J6" si="6">I40</f>
        <v>-510690.42093000008</v>
      </c>
      <c r="K5" s="8">
        <f t="shared" ref="K5:K6" si="7">J40</f>
        <v>-522903.54985000007</v>
      </c>
      <c r="L5" s="8">
        <f t="shared" ref="L5:L6" si="8">K40</f>
        <v>-611406.0570700001</v>
      </c>
      <c r="M5" s="8">
        <f t="shared" ref="M5:M6" si="9">L40</f>
        <v>-608423.7252000001</v>
      </c>
      <c r="N5" s="8">
        <f>B5</f>
        <v>-456911.31</v>
      </c>
    </row>
    <row r="6" spans="1:18" ht="21" customHeight="1" thickBot="1" x14ac:dyDescent="0.3">
      <c r="A6" s="7" t="s">
        <v>13</v>
      </c>
      <c r="B6" s="8">
        <v>-227269.92</v>
      </c>
      <c r="C6" s="8">
        <f t="shared" si="0"/>
        <v>-199905.2</v>
      </c>
      <c r="D6" s="8">
        <f t="shared" si="0"/>
        <v>-216094.67</v>
      </c>
      <c r="E6" s="8">
        <f t="shared" si="1"/>
        <v>-211824.74000000002</v>
      </c>
      <c r="F6" s="8">
        <f t="shared" si="2"/>
        <v>-221671.31000000003</v>
      </c>
      <c r="G6" s="8">
        <f t="shared" si="3"/>
        <v>-232571.08000000005</v>
      </c>
      <c r="H6" s="8">
        <f t="shared" si="4"/>
        <v>-248047.25000000006</v>
      </c>
      <c r="I6" s="8">
        <f t="shared" si="5"/>
        <v>-258655.7300000001</v>
      </c>
      <c r="J6" s="8">
        <f t="shared" si="6"/>
        <v>-247695.08000000007</v>
      </c>
      <c r="K6" s="8">
        <f t="shared" si="7"/>
        <v>-252218.68000000005</v>
      </c>
      <c r="L6" s="8">
        <f t="shared" si="8"/>
        <v>-262778.41000000003</v>
      </c>
      <c r="M6" s="8">
        <f t="shared" si="9"/>
        <v>-256494.7</v>
      </c>
      <c r="N6" s="8">
        <f>B6</f>
        <v>-227269.92</v>
      </c>
    </row>
    <row r="7" spans="1:18" ht="20.25" customHeight="1" thickBot="1" x14ac:dyDescent="0.3">
      <c r="A7" s="9" t="s">
        <v>12</v>
      </c>
      <c r="B7" s="10">
        <f>SUM(B8:B14)</f>
        <v>99664.77</v>
      </c>
      <c r="C7" s="10">
        <f>SUM(C8:C14)</f>
        <v>104811.74</v>
      </c>
      <c r="D7" s="10">
        <f>SUM(D8:D14)</f>
        <v>101436.84000000001</v>
      </c>
      <c r="E7" s="10">
        <f t="shared" ref="E7:M7" si="10">SUM(E8:E14)</f>
        <v>100856.25000000001</v>
      </c>
      <c r="F7" s="10">
        <f t="shared" si="10"/>
        <v>98606.290000000008</v>
      </c>
      <c r="G7" s="10">
        <f t="shared" si="10"/>
        <v>105669.70000000001</v>
      </c>
      <c r="H7" s="10">
        <f t="shared" si="10"/>
        <v>99565.770000000019</v>
      </c>
      <c r="I7" s="10">
        <f t="shared" si="10"/>
        <v>103731.05</v>
      </c>
      <c r="J7" s="10">
        <f t="shared" si="10"/>
        <v>103169.64</v>
      </c>
      <c r="K7" s="10">
        <f t="shared" si="10"/>
        <v>105447.03999999999</v>
      </c>
      <c r="L7" s="10">
        <f t="shared" si="10"/>
        <v>103815.11</v>
      </c>
      <c r="M7" s="10">
        <f t="shared" si="10"/>
        <v>111660.14</v>
      </c>
      <c r="N7" s="10">
        <f>SUM(B7:M7)</f>
        <v>1238434.3400000001</v>
      </c>
    </row>
    <row r="8" spans="1:18" ht="24.75" customHeight="1" thickBot="1" x14ac:dyDescent="0.3">
      <c r="A8" s="4" t="s">
        <v>27</v>
      </c>
      <c r="B8" s="11">
        <f t="shared" ref="B8:G8" si="11">88026.36+1580</f>
        <v>89606.36</v>
      </c>
      <c r="C8" s="11">
        <f t="shared" si="11"/>
        <v>89606.36</v>
      </c>
      <c r="D8" s="11">
        <f t="shared" si="11"/>
        <v>89606.36</v>
      </c>
      <c r="E8" s="11">
        <f t="shared" si="11"/>
        <v>89606.36</v>
      </c>
      <c r="F8" s="11">
        <f t="shared" si="11"/>
        <v>89606.36</v>
      </c>
      <c r="G8" s="11">
        <f t="shared" si="11"/>
        <v>89606.36</v>
      </c>
      <c r="H8" s="11">
        <f>88026.36+1580</f>
        <v>89606.36</v>
      </c>
      <c r="I8" s="11">
        <f>88011.48+15.8+1466.94</f>
        <v>89494.22</v>
      </c>
      <c r="J8" s="11">
        <f>88011.48+15.8+1466.94</f>
        <v>89494.22</v>
      </c>
      <c r="K8" s="11">
        <f>88011.48+15.8+1466.94</f>
        <v>89494.22</v>
      </c>
      <c r="L8" s="11">
        <f>88011.48+15.8+1466.94</f>
        <v>89494.22</v>
      </c>
      <c r="M8" s="11">
        <f>88011.48+15.8+1466.94</f>
        <v>89494.22</v>
      </c>
      <c r="N8" s="11">
        <f>SUM(B8:M8)</f>
        <v>1074715.6199999999</v>
      </c>
    </row>
    <row r="9" spans="1:18" ht="24.75" customHeight="1" thickBot="1" x14ac:dyDescent="0.3">
      <c r="A9" s="4" t="s">
        <v>17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2171.94</v>
      </c>
      <c r="H9" s="11">
        <v>1697.52</v>
      </c>
      <c r="I9" s="11">
        <v>1259.25</v>
      </c>
      <c r="J9" s="11">
        <v>4488.6099999999997</v>
      </c>
      <c r="K9" s="11">
        <v>4764.67</v>
      </c>
      <c r="L9" s="11">
        <v>1682.84</v>
      </c>
      <c r="M9" s="11">
        <v>9261.5300000000007</v>
      </c>
      <c r="N9" s="11">
        <f t="shared" ref="N9:N14" si="12">SUM(B9:M9)</f>
        <v>25326.36</v>
      </c>
    </row>
    <row r="10" spans="1:18" ht="21.75" customHeight="1" thickBot="1" x14ac:dyDescent="0.3">
      <c r="A10" s="4" t="s">
        <v>18</v>
      </c>
      <c r="B10" s="11">
        <v>150.38999999999999</v>
      </c>
      <c r="C10" s="11">
        <v>329.35</v>
      </c>
      <c r="D10" s="11">
        <v>329.35</v>
      </c>
      <c r="E10" s="11">
        <v>329.35</v>
      </c>
      <c r="F10" s="11">
        <v>329.35</v>
      </c>
      <c r="G10" s="11">
        <v>329.35</v>
      </c>
      <c r="H10" s="11">
        <v>329.35</v>
      </c>
      <c r="I10" s="11">
        <v>341.91</v>
      </c>
      <c r="J10" s="11">
        <v>341.91</v>
      </c>
      <c r="K10" s="11">
        <v>227.87</v>
      </c>
      <c r="L10" s="11">
        <v>227.87</v>
      </c>
      <c r="M10" s="11">
        <v>227.86</v>
      </c>
      <c r="N10" s="11">
        <f t="shared" si="12"/>
        <v>3493.9099999999994</v>
      </c>
    </row>
    <row r="11" spans="1:18" ht="22.5" customHeight="1" thickBot="1" x14ac:dyDescent="0.3">
      <c r="A11" s="4" t="s">
        <v>19</v>
      </c>
      <c r="B11" s="11">
        <v>2087.9699999999998</v>
      </c>
      <c r="C11" s="11">
        <v>7055.98</v>
      </c>
      <c r="D11" s="11">
        <v>3681.08</v>
      </c>
      <c r="E11" s="11">
        <v>3100.49</v>
      </c>
      <c r="F11" s="11">
        <v>850.53</v>
      </c>
      <c r="G11" s="11">
        <v>5742</v>
      </c>
      <c r="H11" s="11">
        <v>112.49</v>
      </c>
      <c r="I11" s="11">
        <v>4815.7</v>
      </c>
      <c r="J11" s="11">
        <v>1024.93</v>
      </c>
      <c r="K11" s="11">
        <v>3140.31</v>
      </c>
      <c r="L11" s="11">
        <v>4590.21</v>
      </c>
      <c r="M11" s="11">
        <v>4712.78</v>
      </c>
      <c r="N11" s="11">
        <f t="shared" si="12"/>
        <v>40914.47</v>
      </c>
    </row>
    <row r="12" spans="1:18" ht="22.5" customHeight="1" thickBot="1" x14ac:dyDescent="0.3">
      <c r="A12" s="4" t="s">
        <v>26</v>
      </c>
      <c r="B12" s="11">
        <v>451.7</v>
      </c>
      <c r="C12" s="11">
        <v>451.7</v>
      </c>
      <c r="D12" s="11">
        <v>451.7</v>
      </c>
      <c r="E12" s="11">
        <v>451.7</v>
      </c>
      <c r="F12" s="11">
        <v>451.7</v>
      </c>
      <c r="G12" s="11">
        <v>451.7</v>
      </c>
      <c r="H12" s="11">
        <v>451.7</v>
      </c>
      <c r="I12" s="11">
        <v>451.62</v>
      </c>
      <c r="J12" s="11">
        <v>451.62</v>
      </c>
      <c r="K12" s="11">
        <v>451.62</v>
      </c>
      <c r="L12" s="11">
        <v>451.62</v>
      </c>
      <c r="M12" s="11">
        <v>595.4</v>
      </c>
      <c r="N12" s="11">
        <f t="shared" si="12"/>
        <v>5563.7799999999988</v>
      </c>
    </row>
    <row r="13" spans="1:18" ht="22.5" customHeight="1" thickBot="1" x14ac:dyDescent="0.3">
      <c r="A13" s="4" t="s">
        <v>42</v>
      </c>
      <c r="B13" s="11">
        <v>6398.35</v>
      </c>
      <c r="C13" s="11">
        <v>6398.35</v>
      </c>
      <c r="D13" s="11">
        <v>6398.35</v>
      </c>
      <c r="E13" s="11">
        <v>6398.35</v>
      </c>
      <c r="F13" s="11">
        <v>6398.35</v>
      </c>
      <c r="G13" s="11">
        <v>6398.35</v>
      </c>
      <c r="H13" s="11">
        <v>6398.35</v>
      </c>
      <c r="I13" s="11">
        <v>6398.35</v>
      </c>
      <c r="J13" s="11">
        <v>6398.35</v>
      </c>
      <c r="K13" s="11">
        <v>6398.35</v>
      </c>
      <c r="L13" s="11">
        <v>6398.35</v>
      </c>
      <c r="M13" s="11">
        <v>6398.35</v>
      </c>
      <c r="N13" s="11">
        <f t="shared" si="12"/>
        <v>76780.2</v>
      </c>
    </row>
    <row r="14" spans="1:18" ht="24" customHeight="1" thickBot="1" x14ac:dyDescent="0.3">
      <c r="A14" s="4" t="s">
        <v>15</v>
      </c>
      <c r="B14" s="11">
        <v>970</v>
      </c>
      <c r="C14" s="11">
        <v>970</v>
      </c>
      <c r="D14" s="11">
        <v>970</v>
      </c>
      <c r="E14" s="11">
        <v>970</v>
      </c>
      <c r="F14" s="11">
        <v>970</v>
      </c>
      <c r="G14" s="11">
        <v>970</v>
      </c>
      <c r="H14" s="11">
        <v>970</v>
      </c>
      <c r="I14" s="11">
        <v>970</v>
      </c>
      <c r="J14" s="11">
        <v>970</v>
      </c>
      <c r="K14" s="11">
        <v>970</v>
      </c>
      <c r="L14" s="11">
        <v>970</v>
      </c>
      <c r="M14" s="11">
        <v>970</v>
      </c>
      <c r="N14" s="11">
        <f t="shared" si="12"/>
        <v>11640</v>
      </c>
    </row>
    <row r="15" spans="1:18" ht="20.25" customHeight="1" thickBot="1" x14ac:dyDescent="0.3">
      <c r="A15" s="12" t="s">
        <v>8</v>
      </c>
      <c r="B15" s="13">
        <f>SUM(B16:B22)</f>
        <v>127029.48999999999</v>
      </c>
      <c r="C15" s="13">
        <f>SUM(C16:C22)</f>
        <v>88622.27</v>
      </c>
      <c r="D15" s="13">
        <f>SUM(D16:D22)</f>
        <v>105706.77</v>
      </c>
      <c r="E15" s="13">
        <f t="shared" ref="E15:M15" si="13">SUM(E16:E22)</f>
        <v>91009.680000000008</v>
      </c>
      <c r="F15" s="13">
        <f t="shared" si="13"/>
        <v>87706.52</v>
      </c>
      <c r="G15" s="13">
        <f t="shared" si="13"/>
        <v>90193.529999999984</v>
      </c>
      <c r="H15" s="13">
        <f t="shared" si="13"/>
        <v>88957.29</v>
      </c>
      <c r="I15" s="13">
        <f t="shared" si="13"/>
        <v>114691.7</v>
      </c>
      <c r="J15" s="13">
        <f t="shared" si="13"/>
        <v>98646.040000000008</v>
      </c>
      <c r="K15" s="13">
        <f t="shared" si="13"/>
        <v>94887.309999999983</v>
      </c>
      <c r="L15" s="13">
        <f t="shared" si="13"/>
        <v>110098.81999999999</v>
      </c>
      <c r="M15" s="13">
        <f t="shared" si="13"/>
        <v>106769.53</v>
      </c>
      <c r="N15" s="13">
        <f>SUM(B15:M15)</f>
        <v>1204318.95</v>
      </c>
    </row>
    <row r="16" spans="1:18" ht="24" customHeight="1" thickBot="1" x14ac:dyDescent="0.3">
      <c r="A16" s="4" t="s">
        <v>27</v>
      </c>
      <c r="B16" s="11">
        <f>112451.76+1551.46-171.66</f>
        <v>113831.56</v>
      </c>
      <c r="C16" s="11">
        <f>78700.77+1439.89-12</f>
        <v>80128.66</v>
      </c>
      <c r="D16" s="11">
        <f>89750.34+1684.49-12-85.83</f>
        <v>91337</v>
      </c>
      <c r="E16" s="11">
        <f>79370.48+1421.16</f>
        <v>80791.64</v>
      </c>
      <c r="F16" s="11">
        <f>76508.64+1448.33+3.82</f>
        <v>77960.790000000008</v>
      </c>
      <c r="G16" s="11">
        <f>80740.65+1454.27</f>
        <v>82194.92</v>
      </c>
      <c r="H16" s="11">
        <f>74467.44+1390.4</f>
        <v>75857.84</v>
      </c>
      <c r="I16" s="11">
        <f>100434.34+1702.17</f>
        <v>102136.51</v>
      </c>
      <c r="J16" s="11">
        <f>84459.71+110.6+1249.52</f>
        <v>85819.830000000016</v>
      </c>
      <c r="K16" s="11">
        <f>80884.42+363.4+155.06+1354.83</f>
        <v>82757.709999999992</v>
      </c>
      <c r="L16" s="11">
        <f>93330.31+15.8+1297.38</f>
        <v>94643.49</v>
      </c>
      <c r="M16" s="11">
        <f>90568.23+115.8+1625.12</f>
        <v>92309.15</v>
      </c>
      <c r="N16" s="11">
        <f>SUM(B16:M16)</f>
        <v>1059769.0999999999</v>
      </c>
    </row>
    <row r="17" spans="1:15" ht="26.25" customHeight="1" thickBot="1" x14ac:dyDescent="0.3">
      <c r="A17" s="4" t="s">
        <v>17</v>
      </c>
      <c r="B17" s="11">
        <v>132</v>
      </c>
      <c r="C17" s="11">
        <v>5.78</v>
      </c>
      <c r="D17" s="11">
        <v>151.93</v>
      </c>
      <c r="E17" s="11">
        <v>41.96</v>
      </c>
      <c r="F17" s="11">
        <v>41.28</v>
      </c>
      <c r="G17" s="11">
        <v>7.51</v>
      </c>
      <c r="H17" s="11">
        <v>1752.28</v>
      </c>
      <c r="I17" s="11">
        <v>1762.71</v>
      </c>
      <c r="J17" s="11">
        <v>1197.43</v>
      </c>
      <c r="K17" s="11">
        <v>3912.69</v>
      </c>
      <c r="L17" s="11">
        <v>4583.95</v>
      </c>
      <c r="M17" s="11">
        <v>2111.4899999999998</v>
      </c>
      <c r="N17" s="11">
        <f t="shared" ref="N17:N22" si="14">SUM(B17:M17)</f>
        <v>15701.01</v>
      </c>
    </row>
    <row r="18" spans="1:15" ht="26.25" customHeight="1" thickBot="1" x14ac:dyDescent="0.3">
      <c r="A18" s="4" t="s">
        <v>18</v>
      </c>
      <c r="B18" s="11">
        <v>0</v>
      </c>
      <c r="C18" s="11">
        <v>-478.36</v>
      </c>
      <c r="D18" s="11">
        <v>-387.48</v>
      </c>
      <c r="E18" s="11">
        <v>4.08</v>
      </c>
      <c r="F18" s="11">
        <v>7.48</v>
      </c>
      <c r="G18" s="11">
        <v>7.48</v>
      </c>
      <c r="H18" s="11">
        <v>7.48</v>
      </c>
      <c r="I18" s="11">
        <v>7.48</v>
      </c>
      <c r="J18" s="11">
        <v>7.76</v>
      </c>
      <c r="K18" s="11">
        <v>7.76</v>
      </c>
      <c r="L18" s="11">
        <v>5.17</v>
      </c>
      <c r="M18" s="11">
        <v>5.48</v>
      </c>
      <c r="N18" s="11">
        <f t="shared" si="14"/>
        <v>-805.67</v>
      </c>
    </row>
    <row r="19" spans="1:15" ht="24" customHeight="1" thickBot="1" x14ac:dyDescent="0.3">
      <c r="A19" s="4" t="s">
        <v>19</v>
      </c>
      <c r="B19" s="11">
        <v>5999.59</v>
      </c>
      <c r="C19" s="11">
        <v>2046.78</v>
      </c>
      <c r="D19" s="11">
        <v>6590.1</v>
      </c>
      <c r="E19" s="11">
        <v>3395.53</v>
      </c>
      <c r="F19" s="11">
        <v>2764.86</v>
      </c>
      <c r="G19" s="11">
        <v>976.51</v>
      </c>
      <c r="H19" s="11">
        <v>4681.1899999999996</v>
      </c>
      <c r="I19" s="11">
        <v>1311.25</v>
      </c>
      <c r="J19" s="11">
        <v>4348.6000000000004</v>
      </c>
      <c r="K19" s="11">
        <v>1243.93</v>
      </c>
      <c r="L19" s="11">
        <v>3601.93</v>
      </c>
      <c r="M19" s="11">
        <v>4693.5</v>
      </c>
      <c r="N19" s="11">
        <f t="shared" si="14"/>
        <v>41653.769999999997</v>
      </c>
    </row>
    <row r="20" spans="1:15" ht="24" customHeight="1" thickBot="1" x14ac:dyDescent="0.3">
      <c r="A20" s="4" t="s">
        <v>26</v>
      </c>
      <c r="B20" s="11">
        <v>450.92</v>
      </c>
      <c r="C20" s="11">
        <v>402.89</v>
      </c>
      <c r="D20" s="11">
        <v>464.98</v>
      </c>
      <c r="E20" s="11">
        <v>412.8</v>
      </c>
      <c r="F20" s="11">
        <v>395.78</v>
      </c>
      <c r="G20" s="11">
        <v>415.59</v>
      </c>
      <c r="H20" s="11">
        <v>383.69</v>
      </c>
      <c r="I20" s="11">
        <v>527.13</v>
      </c>
      <c r="J20" s="11">
        <v>434.66</v>
      </c>
      <c r="K20" s="11">
        <v>425.81</v>
      </c>
      <c r="L20" s="11">
        <v>523.28</v>
      </c>
      <c r="M20" s="11">
        <v>501.83</v>
      </c>
      <c r="N20" s="11">
        <f t="shared" si="14"/>
        <v>5339.36</v>
      </c>
    </row>
    <row r="21" spans="1:15" ht="24" customHeight="1" thickBot="1" x14ac:dyDescent="0.3">
      <c r="A21" s="4" t="s">
        <v>42</v>
      </c>
      <c r="B21" s="11">
        <v>6015.42</v>
      </c>
      <c r="C21" s="11">
        <v>5916.52</v>
      </c>
      <c r="D21" s="11">
        <v>6950.24</v>
      </c>
      <c r="E21" s="11">
        <v>5763.67</v>
      </c>
      <c r="F21" s="11">
        <v>5936.33</v>
      </c>
      <c r="G21" s="11">
        <v>5991.52</v>
      </c>
      <c r="H21" s="11">
        <v>5674.81</v>
      </c>
      <c r="I21" s="11">
        <v>8346.6200000000008</v>
      </c>
      <c r="J21" s="11">
        <v>5817.76</v>
      </c>
      <c r="K21" s="11">
        <v>5939.41</v>
      </c>
      <c r="L21" s="11">
        <v>6141</v>
      </c>
      <c r="M21" s="11">
        <v>6548.08</v>
      </c>
      <c r="N21" s="11">
        <f t="shared" si="14"/>
        <v>75041.38</v>
      </c>
    </row>
    <row r="22" spans="1:15" ht="21" customHeight="1" thickBot="1" x14ac:dyDescent="0.3">
      <c r="A22" s="4" t="s">
        <v>15</v>
      </c>
      <c r="B22" s="14">
        <v>600</v>
      </c>
      <c r="C22" s="14">
        <v>600</v>
      </c>
      <c r="D22" s="14">
        <v>600</v>
      </c>
      <c r="E22" s="14">
        <v>600</v>
      </c>
      <c r="F22" s="14">
        <v>600</v>
      </c>
      <c r="G22" s="14">
        <v>600</v>
      </c>
      <c r="H22" s="14">
        <v>600</v>
      </c>
      <c r="I22" s="14">
        <v>600</v>
      </c>
      <c r="J22" s="14">
        <v>1020</v>
      </c>
      <c r="K22" s="11">
        <v>600</v>
      </c>
      <c r="L22" s="11">
        <v>600</v>
      </c>
      <c r="M22" s="11">
        <v>600</v>
      </c>
      <c r="N22" s="11">
        <f t="shared" si="14"/>
        <v>7620</v>
      </c>
      <c r="O22" s="3"/>
    </row>
    <row r="23" spans="1:15" ht="21.75" customHeight="1" thickBot="1" x14ac:dyDescent="0.3">
      <c r="A23" s="15" t="s">
        <v>24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7"/>
    </row>
    <row r="24" spans="1:15" ht="19.5" customHeight="1" thickBot="1" x14ac:dyDescent="0.3">
      <c r="A24" s="4" t="s">
        <v>1</v>
      </c>
      <c r="B24" s="11">
        <f>4732.6*0.55</f>
        <v>2602.9300000000003</v>
      </c>
      <c r="C24" s="11">
        <f t="shared" ref="C24:K24" si="15">4732.6*0.55</f>
        <v>2602.9300000000003</v>
      </c>
      <c r="D24" s="11">
        <f t="shared" si="15"/>
        <v>2602.9300000000003</v>
      </c>
      <c r="E24" s="11">
        <f t="shared" si="15"/>
        <v>2602.9300000000003</v>
      </c>
      <c r="F24" s="11">
        <f t="shared" si="15"/>
        <v>2602.9300000000003</v>
      </c>
      <c r="G24" s="11">
        <f t="shared" si="15"/>
        <v>2602.9300000000003</v>
      </c>
      <c r="H24" s="11">
        <f t="shared" si="15"/>
        <v>2602.9300000000003</v>
      </c>
      <c r="I24" s="11">
        <f t="shared" si="15"/>
        <v>2602.9300000000003</v>
      </c>
      <c r="J24" s="11">
        <f t="shared" si="15"/>
        <v>2602.9300000000003</v>
      </c>
      <c r="K24" s="11">
        <f t="shared" si="15"/>
        <v>2602.9300000000003</v>
      </c>
      <c r="L24" s="11">
        <f>4732.6*0.6</f>
        <v>2839.56</v>
      </c>
      <c r="M24" s="11">
        <f>4732.6*0.6</f>
        <v>2839.56</v>
      </c>
      <c r="N24" s="11">
        <f>SUM(B24:M24)</f>
        <v>31708.420000000006</v>
      </c>
    </row>
    <row r="25" spans="1:15" ht="22.5" customHeight="1" thickBot="1" x14ac:dyDescent="0.3">
      <c r="A25" s="4" t="s">
        <v>2</v>
      </c>
      <c r="B25" s="11">
        <f t="shared" ref="B25:M25" si="16">4732.6*0.17</f>
        <v>804.54200000000014</v>
      </c>
      <c r="C25" s="11">
        <f t="shared" si="16"/>
        <v>804.54200000000014</v>
      </c>
      <c r="D25" s="11">
        <f t="shared" si="16"/>
        <v>804.54200000000014</v>
      </c>
      <c r="E25" s="11">
        <f t="shared" si="16"/>
        <v>804.54200000000014</v>
      </c>
      <c r="F25" s="11">
        <f t="shared" si="16"/>
        <v>804.54200000000014</v>
      </c>
      <c r="G25" s="11">
        <f t="shared" si="16"/>
        <v>804.54200000000014</v>
      </c>
      <c r="H25" s="11">
        <f t="shared" si="16"/>
        <v>804.54200000000014</v>
      </c>
      <c r="I25" s="11">
        <f t="shared" si="16"/>
        <v>804.54200000000014</v>
      </c>
      <c r="J25" s="11">
        <f t="shared" si="16"/>
        <v>804.54200000000014</v>
      </c>
      <c r="K25" s="11">
        <f t="shared" si="16"/>
        <v>804.54200000000014</v>
      </c>
      <c r="L25" s="11">
        <f t="shared" si="16"/>
        <v>804.54200000000014</v>
      </c>
      <c r="M25" s="11">
        <f t="shared" si="16"/>
        <v>804.54200000000014</v>
      </c>
      <c r="N25" s="11">
        <f t="shared" ref="N25:N37" si="17">SUM(B25:M25)</f>
        <v>9654.5040000000026</v>
      </c>
    </row>
    <row r="26" spans="1:15" ht="21" customHeight="1" thickBot="1" x14ac:dyDescent="0.3">
      <c r="A26" s="4" t="s">
        <v>3</v>
      </c>
      <c r="B26" s="11">
        <f>98694.77*2.3%</f>
        <v>2269.9797100000001</v>
      </c>
      <c r="C26" s="11">
        <f>103841.74*2.3%</f>
        <v>2388.3600200000001</v>
      </c>
      <c r="D26" s="11">
        <f>100466.84*2.3%</f>
        <v>2310.7373199999997</v>
      </c>
      <c r="E26" s="11">
        <f>99886.25*2.3%</f>
        <v>2297.38375</v>
      </c>
      <c r="F26" s="11">
        <f>97636.29*2.3%</f>
        <v>2245.6346699999999</v>
      </c>
      <c r="G26" s="11">
        <f>104699.7*2.3%</f>
        <v>2408.0931</v>
      </c>
      <c r="H26" s="11">
        <f>98595.77*2.3%</f>
        <v>2267.70271</v>
      </c>
      <c r="I26" s="11">
        <f>102761.05*2.3%</f>
        <v>2363.5041500000002</v>
      </c>
      <c r="J26" s="11">
        <f>102199.64*2.3%</f>
        <v>2350.5917199999999</v>
      </c>
      <c r="K26" s="11">
        <f>104477.04*2.3%</f>
        <v>2402.97192</v>
      </c>
      <c r="L26" s="11">
        <f>102845.11*2.3%</f>
        <v>2365.4375300000002</v>
      </c>
      <c r="M26" s="11">
        <f>110690.14*2.3%</f>
        <v>2545.8732199999999</v>
      </c>
      <c r="N26" s="11">
        <f t="shared" si="17"/>
        <v>28216.269820000001</v>
      </c>
    </row>
    <row r="27" spans="1:15" ht="23.25" customHeight="1" thickBot="1" x14ac:dyDescent="0.3">
      <c r="A27" s="4" t="s">
        <v>4</v>
      </c>
      <c r="B27" s="11">
        <f>126429.49*3%</f>
        <v>3792.8847000000001</v>
      </c>
      <c r="C27" s="11">
        <f>88022.27*3%</f>
        <v>2640.6680999999999</v>
      </c>
      <c r="D27" s="11">
        <f>105106.77*3%</f>
        <v>3153.2031000000002</v>
      </c>
      <c r="E27" s="11">
        <f>90409.68*3%</f>
        <v>2712.2903999999999</v>
      </c>
      <c r="F27" s="11">
        <f>87106.52*3%</f>
        <v>2613.1956</v>
      </c>
      <c r="G27" s="11">
        <f>89593.53*3%</f>
        <v>2687.8058999999998</v>
      </c>
      <c r="H27" s="11">
        <f>88357.29*3%</f>
        <v>2650.7186999999999</v>
      </c>
      <c r="I27" s="11">
        <f>114091.7*3%</f>
        <v>3422.7509999999997</v>
      </c>
      <c r="J27" s="11">
        <f>97626.04*3%</f>
        <v>2928.7811999999999</v>
      </c>
      <c r="K27" s="11">
        <f>94287.31*3%</f>
        <v>2828.6192999999998</v>
      </c>
      <c r="L27" s="11">
        <f>109498.82*3%</f>
        <v>3284.9646000000002</v>
      </c>
      <c r="M27" s="11">
        <f>106169.53*3%</f>
        <v>3185.0859</v>
      </c>
      <c r="N27" s="11">
        <f t="shared" si="17"/>
        <v>35900.968500000003</v>
      </c>
    </row>
    <row r="28" spans="1:15" ht="23.25" customHeight="1" thickBot="1" x14ac:dyDescent="0.3">
      <c r="A28" s="4" t="s">
        <v>9</v>
      </c>
      <c r="B28" s="24">
        <f t="shared" ref="B28:F28" si="18">4732.6*8.5</f>
        <v>40227.100000000006</v>
      </c>
      <c r="C28" s="24">
        <f t="shared" si="18"/>
        <v>40227.100000000006</v>
      </c>
      <c r="D28" s="24">
        <f t="shared" si="18"/>
        <v>40227.100000000006</v>
      </c>
      <c r="E28" s="24">
        <f t="shared" si="18"/>
        <v>40227.100000000006</v>
      </c>
      <c r="F28" s="24">
        <f t="shared" si="18"/>
        <v>40227.100000000006</v>
      </c>
      <c r="G28" s="24">
        <f>4732.6*8.5</f>
        <v>40227.100000000006</v>
      </c>
      <c r="H28" s="24">
        <f>4732.6*9.7</f>
        <v>45906.22</v>
      </c>
      <c r="I28" s="24">
        <f t="shared" ref="I28:M28" si="19">4732.6*9.7</f>
        <v>45906.22</v>
      </c>
      <c r="J28" s="24">
        <f t="shared" si="19"/>
        <v>45906.22</v>
      </c>
      <c r="K28" s="24">
        <f t="shared" si="19"/>
        <v>45906.22</v>
      </c>
      <c r="L28" s="24">
        <f t="shared" si="19"/>
        <v>45906.22</v>
      </c>
      <c r="M28" s="24">
        <f t="shared" si="19"/>
        <v>45906.22</v>
      </c>
      <c r="N28" s="11">
        <f t="shared" si="17"/>
        <v>516799.91999999993</v>
      </c>
    </row>
    <row r="29" spans="1:15" ht="26.25" customHeight="1" thickBot="1" x14ac:dyDescent="0.3">
      <c r="A29" s="4" t="s">
        <v>20</v>
      </c>
      <c r="B29" s="11">
        <v>0</v>
      </c>
      <c r="C29" s="11">
        <v>0</v>
      </c>
      <c r="D29" s="11">
        <v>0</v>
      </c>
      <c r="E29" s="11">
        <v>0</v>
      </c>
      <c r="F29" s="11">
        <f>2171.98+0</f>
        <v>2171.98</v>
      </c>
      <c r="G29" s="11">
        <f>1697.5+0</f>
        <v>1697.5</v>
      </c>
      <c r="H29" s="11">
        <f>1259.28+0</f>
        <v>1259.28</v>
      </c>
      <c r="I29" s="11">
        <f>4488.65+0</f>
        <v>4488.6499999999996</v>
      </c>
      <c r="J29" s="11">
        <f>4764.76+0</f>
        <v>4764.76</v>
      </c>
      <c r="K29" s="11">
        <f>1682.87+0</f>
        <v>1682.87</v>
      </c>
      <c r="L29" s="11">
        <f>9261.54+0</f>
        <v>9261.5400000000009</v>
      </c>
      <c r="M29" s="11">
        <f>10137.19+0.02</f>
        <v>10137.210000000001</v>
      </c>
      <c r="N29" s="11">
        <f t="shared" si="17"/>
        <v>35463.79</v>
      </c>
    </row>
    <row r="30" spans="1:15" ht="26.25" customHeight="1" thickBot="1" x14ac:dyDescent="0.3">
      <c r="A30" s="4" t="s">
        <v>21</v>
      </c>
      <c r="B30" s="11">
        <v>329.38</v>
      </c>
      <c r="C30" s="11">
        <v>329.38</v>
      </c>
      <c r="D30" s="11">
        <v>329.38</v>
      </c>
      <c r="E30" s="11">
        <v>329.38</v>
      </c>
      <c r="F30" s="11">
        <v>329.38</v>
      </c>
      <c r="G30" s="11">
        <v>329.38</v>
      </c>
      <c r="H30" s="11">
        <v>341.89</v>
      </c>
      <c r="I30" s="11">
        <v>341.89</v>
      </c>
      <c r="J30" s="11">
        <v>341.89</v>
      </c>
      <c r="K30" s="11">
        <v>341.89</v>
      </c>
      <c r="L30" s="11">
        <v>341.89</v>
      </c>
      <c r="M30" s="11">
        <v>462.95</v>
      </c>
      <c r="N30" s="11">
        <f t="shared" si="17"/>
        <v>4148.6799999999994</v>
      </c>
    </row>
    <row r="31" spans="1:15" ht="26.25" customHeight="1" thickBot="1" x14ac:dyDescent="0.3">
      <c r="A31" s="4" t="s">
        <v>22</v>
      </c>
      <c r="B31" s="11">
        <v>7056</v>
      </c>
      <c r="C31" s="11">
        <v>3681</v>
      </c>
      <c r="D31" s="11">
        <v>3100.5</v>
      </c>
      <c r="E31" s="11">
        <v>850.5</v>
      </c>
      <c r="F31" s="11">
        <v>5742</v>
      </c>
      <c r="G31" s="11">
        <v>112.5</v>
      </c>
      <c r="H31" s="11">
        <v>4815.72</v>
      </c>
      <c r="I31" s="11">
        <v>1024.92</v>
      </c>
      <c r="J31" s="11">
        <v>3140.28</v>
      </c>
      <c r="K31" s="11">
        <v>5148</v>
      </c>
      <c r="L31" s="11">
        <v>4712.76</v>
      </c>
      <c r="M31" s="11">
        <v>561</v>
      </c>
      <c r="N31" s="11">
        <f t="shared" si="17"/>
        <v>39945.18</v>
      </c>
    </row>
    <row r="32" spans="1:15" ht="26.25" customHeight="1" thickBot="1" x14ac:dyDescent="0.3">
      <c r="A32" s="4" t="s">
        <v>26</v>
      </c>
      <c r="B32" s="11">
        <v>451.62</v>
      </c>
      <c r="C32" s="11">
        <v>451.62</v>
      </c>
      <c r="D32" s="11">
        <v>451.62</v>
      </c>
      <c r="E32" s="11">
        <v>451.62</v>
      </c>
      <c r="F32" s="11">
        <v>451.62</v>
      </c>
      <c r="G32" s="11">
        <v>451.62</v>
      </c>
      <c r="H32" s="11">
        <v>451.62</v>
      </c>
      <c r="I32" s="11">
        <v>451.62</v>
      </c>
      <c r="J32" s="11">
        <v>451.62</v>
      </c>
      <c r="K32" s="11">
        <v>451.62</v>
      </c>
      <c r="L32" s="11">
        <v>451.62</v>
      </c>
      <c r="M32" s="11">
        <v>595.54</v>
      </c>
      <c r="N32" s="11">
        <f t="shared" si="17"/>
        <v>5563.36</v>
      </c>
    </row>
    <row r="33" spans="1:14" ht="22.5" customHeight="1" thickBot="1" x14ac:dyDescent="0.3">
      <c r="A33" s="4" t="s">
        <v>6</v>
      </c>
      <c r="B33" s="24">
        <f t="shared" ref="B33:M33" si="20">4732.6*2.79</f>
        <v>13203.954000000002</v>
      </c>
      <c r="C33" s="24">
        <f t="shared" si="20"/>
        <v>13203.954000000002</v>
      </c>
      <c r="D33" s="24">
        <f t="shared" si="20"/>
        <v>13203.954000000002</v>
      </c>
      <c r="E33" s="24">
        <f t="shared" si="20"/>
        <v>13203.954000000002</v>
      </c>
      <c r="F33" s="24">
        <f t="shared" si="20"/>
        <v>13203.954000000002</v>
      </c>
      <c r="G33" s="24">
        <f t="shared" si="20"/>
        <v>13203.954000000002</v>
      </c>
      <c r="H33" s="24">
        <f t="shared" si="20"/>
        <v>13203.954000000002</v>
      </c>
      <c r="I33" s="24">
        <f t="shared" si="20"/>
        <v>13203.954000000002</v>
      </c>
      <c r="J33" s="24">
        <f t="shared" si="20"/>
        <v>13203.954000000002</v>
      </c>
      <c r="K33" s="24">
        <f t="shared" si="20"/>
        <v>13203.954000000002</v>
      </c>
      <c r="L33" s="24">
        <f t="shared" si="20"/>
        <v>13203.954000000002</v>
      </c>
      <c r="M33" s="24">
        <f t="shared" si="20"/>
        <v>13203.954000000002</v>
      </c>
      <c r="N33" s="11">
        <f t="shared" si="17"/>
        <v>158447.448</v>
      </c>
    </row>
    <row r="34" spans="1:14" ht="22.5" customHeight="1" thickBot="1" x14ac:dyDescent="0.3">
      <c r="A34" s="4" t="s">
        <v>25</v>
      </c>
      <c r="B34" s="11">
        <f>1140+420</f>
        <v>1560</v>
      </c>
      <c r="C34" s="11">
        <f>1140+420</f>
        <v>1560</v>
      </c>
      <c r="D34" s="11">
        <f>1140+420</f>
        <v>1560</v>
      </c>
      <c r="E34" s="11">
        <f>1140+420</f>
        <v>1560</v>
      </c>
      <c r="F34" s="11">
        <f>1140</f>
        <v>1140</v>
      </c>
      <c r="G34" s="11">
        <v>900</v>
      </c>
      <c r="H34" s="11">
        <v>900</v>
      </c>
      <c r="I34" s="11">
        <v>900</v>
      </c>
      <c r="J34" s="11">
        <v>900</v>
      </c>
      <c r="K34" s="11">
        <f>900</f>
        <v>900</v>
      </c>
      <c r="L34" s="11">
        <f>900</f>
        <v>900</v>
      </c>
      <c r="M34" s="11">
        <f>900</f>
        <v>900</v>
      </c>
      <c r="N34" s="11">
        <f t="shared" si="17"/>
        <v>13680</v>
      </c>
    </row>
    <row r="35" spans="1:14" ht="21.75" customHeight="1" thickBot="1" x14ac:dyDescent="0.3">
      <c r="A35" s="4" t="s">
        <v>42</v>
      </c>
      <c r="B35" s="11">
        <v>5515</v>
      </c>
      <c r="C35" s="11">
        <v>6010</v>
      </c>
      <c r="D35" s="11">
        <v>6055</v>
      </c>
      <c r="E35" s="11">
        <v>5505</v>
      </c>
      <c r="F35" s="11">
        <v>5730</v>
      </c>
      <c r="G35" s="11">
        <v>5500</v>
      </c>
      <c r="H35" s="11">
        <v>5735</v>
      </c>
      <c r="I35" s="11">
        <v>7205</v>
      </c>
      <c r="J35" s="11">
        <v>5490</v>
      </c>
      <c r="K35" s="11">
        <v>6105</v>
      </c>
      <c r="L35" s="11">
        <v>6055</v>
      </c>
      <c r="M35" s="11">
        <v>6260</v>
      </c>
      <c r="N35" s="11">
        <f t="shared" si="17"/>
        <v>71165</v>
      </c>
    </row>
    <row r="36" spans="1:14" ht="24.75" customHeight="1" thickBot="1" x14ac:dyDescent="0.3">
      <c r="A36" s="4" t="s">
        <v>14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f>20103.98</f>
        <v>20103.98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f t="shared" si="17"/>
        <v>20103.98</v>
      </c>
    </row>
    <row r="37" spans="1:14" ht="24" customHeight="1" thickBot="1" x14ac:dyDescent="0.3">
      <c r="A37" s="4" t="s">
        <v>10</v>
      </c>
      <c r="B37" s="11">
        <f>4695.9+1205.5+1182.2+2376.4+2469.4+2255.8+2215.3+540.8+5996.7+29127.7+71192.39</f>
        <v>123258.09</v>
      </c>
      <c r="C37" s="11">
        <f>7461.2+105+1281.3+8677.5+7080</f>
        <v>24605</v>
      </c>
      <c r="D37" s="11">
        <f>500+549.8</f>
        <v>1049.8</v>
      </c>
      <c r="E37" s="11">
        <f>4048.2+105+1130.4+1319.3+354.3</f>
        <v>6957.2000000000007</v>
      </c>
      <c r="F37" s="11">
        <f>4649+14033.56</f>
        <v>18682.559999999998</v>
      </c>
      <c r="G37" s="11">
        <f>105+3096.5+4977.2+10000</f>
        <v>18178.7</v>
      </c>
      <c r="H37" s="11">
        <v>0</v>
      </c>
      <c r="I37" s="11">
        <f>1123.9+7479.8+574.6+17782.8</f>
        <v>26961.1</v>
      </c>
      <c r="J37" s="11">
        <f>85+2038.6+25850</f>
        <v>27973.599999999999</v>
      </c>
      <c r="K37" s="11">
        <f>2119.3+1155.3+543.4+1538.8+6000+86654.4+3000</f>
        <v>101011.2</v>
      </c>
      <c r="L37" s="11">
        <f>15300.4+1688.6</f>
        <v>16989</v>
      </c>
      <c r="M37" s="11">
        <f>576.8+1730.3</f>
        <v>2307.1</v>
      </c>
      <c r="N37" s="11">
        <f t="shared" si="17"/>
        <v>367973.35</v>
      </c>
    </row>
    <row r="38" spans="1:14" ht="22.5" customHeight="1" thickBot="1" x14ac:dyDescent="0.3">
      <c r="A38" s="9" t="s">
        <v>23</v>
      </c>
      <c r="B38" s="10">
        <f t="shared" ref="B38:M38" si="21">SUM(B24:B37)</f>
        <v>201071.48041000002</v>
      </c>
      <c r="C38" s="10">
        <f t="shared" si="21"/>
        <v>98504.554120000001</v>
      </c>
      <c r="D38" s="10">
        <f t="shared" si="21"/>
        <v>74848.766420000014</v>
      </c>
      <c r="E38" s="10">
        <f t="shared" si="21"/>
        <v>77501.900150000001</v>
      </c>
      <c r="F38" s="10">
        <f t="shared" si="21"/>
        <v>95944.896270000012</v>
      </c>
      <c r="G38" s="10">
        <f t="shared" si="21"/>
        <v>89104.125</v>
      </c>
      <c r="H38" s="10">
        <f t="shared" si="21"/>
        <v>101043.55741000001</v>
      </c>
      <c r="I38" s="10">
        <f t="shared" si="21"/>
        <v>109677.08115000001</v>
      </c>
      <c r="J38" s="10">
        <f t="shared" si="21"/>
        <v>110859.16892</v>
      </c>
      <c r="K38" s="10">
        <f t="shared" si="21"/>
        <v>183389.81722</v>
      </c>
      <c r="L38" s="10">
        <f t="shared" si="21"/>
        <v>107116.48813</v>
      </c>
      <c r="M38" s="10">
        <f t="shared" si="21"/>
        <v>89709.03512</v>
      </c>
      <c r="N38" s="10">
        <f>SUM(B38:M38)</f>
        <v>1338770.8703199998</v>
      </c>
    </row>
    <row r="39" spans="1:14" ht="23.25" customHeight="1" thickBot="1" x14ac:dyDescent="0.3">
      <c r="A39" s="4" t="s">
        <v>5</v>
      </c>
      <c r="B39" s="18">
        <f t="shared" ref="B39:N39" si="22">B15-B38</f>
        <v>-74041.990410000028</v>
      </c>
      <c r="C39" s="18">
        <f t="shared" si="22"/>
        <v>-9882.2841199999966</v>
      </c>
      <c r="D39" s="18">
        <f t="shared" si="22"/>
        <v>30858.00357999999</v>
      </c>
      <c r="E39" s="18">
        <f t="shared" si="22"/>
        <v>13507.779850000006</v>
      </c>
      <c r="F39" s="18">
        <f t="shared" si="22"/>
        <v>-8238.3762700000079</v>
      </c>
      <c r="G39" s="18">
        <f t="shared" si="22"/>
        <v>1089.4049999999843</v>
      </c>
      <c r="H39" s="18">
        <f t="shared" si="22"/>
        <v>-12086.267410000015</v>
      </c>
      <c r="I39" s="18">
        <f t="shared" si="22"/>
        <v>5014.6188499999844</v>
      </c>
      <c r="J39" s="18">
        <f t="shared" si="22"/>
        <v>-12213.128919999988</v>
      </c>
      <c r="K39" s="18">
        <f t="shared" si="22"/>
        <v>-88502.507220000014</v>
      </c>
      <c r="L39" s="18">
        <f t="shared" si="22"/>
        <v>2982.3318699999945</v>
      </c>
      <c r="M39" s="18">
        <f t="shared" si="22"/>
        <v>17060.494879999998</v>
      </c>
      <c r="N39" s="11">
        <f t="shared" si="22"/>
        <v>-134451.9203199998</v>
      </c>
    </row>
    <row r="40" spans="1:14" ht="23.25" customHeight="1" thickBot="1" x14ac:dyDescent="0.3">
      <c r="A40" s="4" t="s">
        <v>7</v>
      </c>
      <c r="B40" s="14">
        <f>B5+B39</f>
        <v>-530953.30041000003</v>
      </c>
      <c r="C40" s="19">
        <f>B40+C39</f>
        <v>-540835.58452999999</v>
      </c>
      <c r="D40" s="19">
        <f t="shared" ref="D40:M40" si="23">C40+D39</f>
        <v>-509977.58094999997</v>
      </c>
      <c r="E40" s="19">
        <f t="shared" si="23"/>
        <v>-496469.80109999998</v>
      </c>
      <c r="F40" s="19">
        <f t="shared" si="23"/>
        <v>-504708.17736999999</v>
      </c>
      <c r="G40" s="19">
        <f t="shared" si="23"/>
        <v>-503618.77237000002</v>
      </c>
      <c r="H40" s="19">
        <f t="shared" si="23"/>
        <v>-515705.03978000005</v>
      </c>
      <c r="I40" s="19">
        <f t="shared" si="23"/>
        <v>-510690.42093000008</v>
      </c>
      <c r="J40" s="14">
        <f t="shared" si="23"/>
        <v>-522903.54985000007</v>
      </c>
      <c r="K40" s="19">
        <f t="shared" si="23"/>
        <v>-611406.0570700001</v>
      </c>
      <c r="L40" s="19">
        <f t="shared" si="23"/>
        <v>-608423.7252000001</v>
      </c>
      <c r="M40" s="19">
        <f t="shared" si="23"/>
        <v>-591363.23032000009</v>
      </c>
      <c r="N40" s="21">
        <f>N5+N39</f>
        <v>-591363.23031999986</v>
      </c>
    </row>
    <row r="41" spans="1:14" ht="27" customHeight="1" thickBot="1" x14ac:dyDescent="0.3">
      <c r="A41" s="15" t="s">
        <v>11</v>
      </c>
      <c r="B41" s="20">
        <f>B6+B15-B7</f>
        <v>-199905.2</v>
      </c>
      <c r="C41" s="20">
        <f>C6+C15-C7</f>
        <v>-216094.67</v>
      </c>
      <c r="D41" s="20">
        <f>D6+D15-D7</f>
        <v>-211824.74000000002</v>
      </c>
      <c r="E41" s="20">
        <f t="shared" ref="E41:N41" si="24">E6+E15-E7</f>
        <v>-221671.31000000003</v>
      </c>
      <c r="F41" s="20">
        <f t="shared" si="24"/>
        <v>-232571.08000000005</v>
      </c>
      <c r="G41" s="20">
        <f t="shared" si="24"/>
        <v>-248047.25000000006</v>
      </c>
      <c r="H41" s="20">
        <f t="shared" si="24"/>
        <v>-258655.7300000001</v>
      </c>
      <c r="I41" s="20">
        <f t="shared" si="24"/>
        <v>-247695.08000000007</v>
      </c>
      <c r="J41" s="22">
        <f t="shared" si="24"/>
        <v>-252218.68000000005</v>
      </c>
      <c r="K41" s="20">
        <f t="shared" si="24"/>
        <v>-262778.41000000003</v>
      </c>
      <c r="L41" s="20">
        <f t="shared" si="24"/>
        <v>-256494.7</v>
      </c>
      <c r="M41" s="20">
        <f t="shared" si="24"/>
        <v>-261385.31</v>
      </c>
      <c r="N41" s="23">
        <f t="shared" si="24"/>
        <v>-261385.31000000017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2023-03-02T06:50:14Z</cp:lastPrinted>
  <dcterms:created xsi:type="dcterms:W3CDTF">2011-06-06T03:25:48Z</dcterms:created>
  <dcterms:modified xsi:type="dcterms:W3CDTF">2023-03-21T02:40:45Z</dcterms:modified>
</cp:coreProperties>
</file>