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K34" i="1" l="1"/>
  <c r="M27" i="1" l="1"/>
  <c r="M16" i="1"/>
  <c r="M26" i="1"/>
  <c r="M8" i="1"/>
  <c r="K36" i="1" l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M24" i="1"/>
  <c r="L24" i="1"/>
  <c r="K24" i="1"/>
  <c r="J29" i="1" l="1"/>
  <c r="I36" i="1" l="1"/>
  <c r="I28" i="1" l="1"/>
  <c r="J28" i="1"/>
  <c r="H28" i="1"/>
  <c r="J27" i="1" l="1"/>
  <c r="J16" i="1"/>
  <c r="J26" i="1"/>
  <c r="J8" i="1"/>
  <c r="I24" i="1"/>
  <c r="J24" i="1"/>
  <c r="H24" i="1"/>
  <c r="H25" i="1" l="1"/>
  <c r="J33" i="1"/>
  <c r="I33" i="1"/>
  <c r="H33" i="1"/>
  <c r="J25" i="1"/>
  <c r="I25" i="1"/>
  <c r="I27" i="1" l="1"/>
  <c r="I16" i="1"/>
  <c r="I26" i="1"/>
  <c r="I8" i="1"/>
  <c r="H36" i="1" l="1"/>
  <c r="H27" i="1" l="1"/>
  <c r="H16" i="1"/>
  <c r="H26" i="1"/>
  <c r="H8" i="1"/>
  <c r="G36" i="1" l="1"/>
  <c r="F34" i="1" l="1"/>
  <c r="E34" i="1" l="1"/>
  <c r="G27" i="1" l="1"/>
  <c r="G16" i="1"/>
  <c r="G26" i="1"/>
  <c r="G8" i="1"/>
  <c r="F36" i="1" l="1"/>
  <c r="F27" i="1" l="1"/>
  <c r="F16" i="1"/>
  <c r="F26" i="1"/>
  <c r="F8" i="1"/>
  <c r="E36" i="1" l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36" i="1" l="1"/>
  <c r="D34" i="1" l="1"/>
  <c r="C34" i="1" l="1"/>
  <c r="B34" i="1" l="1"/>
  <c r="C29" i="1" l="1"/>
  <c r="D27" i="1" l="1"/>
  <c r="D16" i="1"/>
  <c r="D26" i="1"/>
  <c r="D8" i="1"/>
  <c r="B36" i="1" l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G15" i="1" l="1"/>
  <c r="D15" i="1" l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C15" i="1" l="1"/>
  <c r="E15" i="1"/>
  <c r="F15" i="1"/>
  <c r="H15" i="1"/>
  <c r="I15" i="1"/>
  <c r="J15" i="1"/>
  <c r="K15" i="1"/>
  <c r="L15" i="1"/>
  <c r="M15" i="1"/>
  <c r="B15" i="1"/>
  <c r="C7" i="1"/>
  <c r="D7" i="1"/>
  <c r="E7" i="1"/>
  <c r="F7" i="1"/>
  <c r="G7" i="1"/>
  <c r="H7" i="1"/>
  <c r="I7" i="1"/>
  <c r="J7" i="1"/>
  <c r="K7" i="1"/>
  <c r="L7" i="1"/>
  <c r="M7" i="1"/>
  <c r="B7" i="1"/>
  <c r="J37" i="1" l="1"/>
  <c r="J38" i="1" s="1"/>
  <c r="G37" i="1"/>
  <c r="G38" i="1" s="1"/>
  <c r="B40" i="1"/>
  <c r="N15" i="1"/>
  <c r="N7" i="1"/>
  <c r="N17" i="1" l="1"/>
  <c r="N16" i="1" l="1"/>
  <c r="N6" i="1" l="1"/>
  <c r="N40" i="1" s="1"/>
  <c r="N5" i="1"/>
  <c r="N18" i="1" l="1"/>
  <c r="N19" i="1"/>
  <c r="N20" i="1"/>
  <c r="N21" i="1"/>
  <c r="N22" i="1"/>
  <c r="N9" i="1"/>
  <c r="N10" i="1"/>
  <c r="N11" i="1"/>
  <c r="N12" i="1"/>
  <c r="N13" i="1"/>
  <c r="N14" i="1"/>
  <c r="N8" i="1" l="1"/>
  <c r="K37" i="1" l="1"/>
  <c r="K38" i="1" s="1"/>
  <c r="L37" i="1"/>
  <c r="L38" i="1" s="1"/>
  <c r="M37" i="1"/>
  <c r="M38" i="1" s="1"/>
  <c r="I37" i="1"/>
  <c r="I38" i="1" s="1"/>
  <c r="H37" i="1" l="1"/>
  <c r="H38" i="1" s="1"/>
  <c r="F37" i="1" l="1"/>
  <c r="F38" i="1" s="1"/>
  <c r="E37" i="1"/>
  <c r="E38" i="1" s="1"/>
  <c r="C37" i="1"/>
  <c r="C38" i="1" s="1"/>
  <c r="D37" i="1" l="1"/>
  <c r="D38" i="1" s="1"/>
  <c r="B37" i="1" l="1"/>
  <c r="N37" i="1" s="1"/>
  <c r="B38" i="1" l="1"/>
  <c r="B39" i="1" l="1"/>
  <c r="C5" i="1" s="1"/>
  <c r="C39" i="1" s="1"/>
  <c r="N38" i="1"/>
  <c r="N39" i="1" s="1"/>
  <c r="C6" i="1" l="1"/>
  <c r="C40" i="1" s="1"/>
  <c r="D5" i="1"/>
  <c r="D39" i="1" s="1"/>
  <c r="D6" i="1" l="1"/>
  <c r="D40" i="1" s="1"/>
  <c r="E5" i="1"/>
  <c r="E39" i="1" s="1"/>
  <c r="E6" i="1" l="1"/>
  <c r="E40" i="1" s="1"/>
  <c r="F6" i="1" s="1"/>
  <c r="F40" i="1" s="1"/>
  <c r="F5" i="1"/>
  <c r="F39" i="1" s="1"/>
  <c r="G6" i="1" l="1"/>
  <c r="G40" i="1" s="1"/>
  <c r="G5" i="1"/>
  <c r="G39" i="1" s="1"/>
  <c r="H5" i="1" l="1"/>
  <c r="H39" i="1" s="1"/>
  <c r="H6" i="1" l="1"/>
  <c r="H40" i="1" s="1"/>
  <c r="I5" i="1"/>
  <c r="I6" i="1" l="1"/>
  <c r="I40" i="1" s="1"/>
  <c r="I39" i="1"/>
  <c r="J5" i="1" s="1"/>
  <c r="J39" i="1" s="1"/>
  <c r="J6" i="1" l="1"/>
  <c r="J40" i="1" s="1"/>
  <c r="K5" i="1"/>
  <c r="K6" i="1" l="1"/>
  <c r="K40" i="1" s="1"/>
  <c r="K39" i="1"/>
  <c r="L5" i="1" s="1"/>
  <c r="L6" i="1" l="1"/>
  <c r="L40" i="1" s="1"/>
  <c r="L39" i="1"/>
  <c r="M5" i="1" s="1"/>
  <c r="M39" i="1" s="1"/>
  <c r="M6" i="1" l="1"/>
  <c r="M40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<sst xmlns="http://schemas.openxmlformats.org/spreadsheetml/2006/main" count="51" uniqueCount="43">
  <si>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</si>
  <si>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</si>
  <si>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</si>
  <si>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</si>
  <si>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</si>
  <si>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</si>
  <si>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</si>
  <si>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</si>
  <si>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</si>
  <si>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</si>
  <si>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</si>
  <si>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</si>
  <si>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</si>
  <si>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</si>
  <si>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</si>
  <si>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</si>
  <si>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</si>
  <si>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</si>
  <si>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</si>
  <si>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</si>
  <si>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</si>
  <si>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</si>
  <si>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</si>
  <si>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</si>
  <si>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</si>
  <si>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</si>
  <si>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</si>
  <si>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</si>
  <si>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</si>
  <si>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</si>
  <si>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</si>
  <si>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</si>
  <si>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</si>
  <si>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</si>
  <si>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</si>
  <si>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</si>
  <si>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</si>
  <si>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</si>
  <si>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</si>
  <si>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</si>
  <si>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Тех.обслуживание узла учета теплоэнергии </t>
  </si>
  <si>
    <t xml:space="preserve">                 ОТЧЕТ по дому Можайского, 2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</si>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</sst>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22" zoomScale="75" workbookViewId="0">
      <selection activeCell="A30" sqref="A30"/>
    </sheetView>
  </sheetViews>
  <sheetFormatPr defaultRowHeight="13.2" x14ac:dyDescent="0.25"/>
  <cols>
    <col min="1" max="1" width="58.6640625" customWidth="1"/>
    <col min="2" max="2" width="14.44140625" customWidth="1"/>
    <col min="3" max="3" width="13.44140625" customWidth="1"/>
    <col min="4" max="4" width="14.5546875" customWidth="1"/>
    <col min="5" max="5" width="14.88671875" customWidth="1"/>
    <col min="6" max="6" width="15" customWidth="1"/>
    <col min="7" max="7" width="14.88671875" customWidth="1"/>
    <col min="8" max="8" width="14" customWidth="1"/>
    <col min="9" max="9" width="13.88671875" customWidth="1"/>
    <col min="10" max="12" width="14.33203125" customWidth="1"/>
    <col min="13" max="13" width="15.88671875" customWidth="1"/>
    <col min="14" max="14" width="15.5546875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</row>
    <row r="5" spans="1:18" ht="23.25" customHeight="1" thickBot="1" x14ac:dyDescent="0.3">
      <c r="A5" s="7" t="s">
        <v>15</v>
      </c>
      <c r="B5" s="8">
        <v>-161308.73000000001</v>
      </c>
      <c r="C5" s="8">
        <f t="shared" ref="C5:D6" si="0">B39</f>
        <v>-152118.07386</v>
      </c>
      <c r="D5" s="8">
        <f t="shared" si="0"/>
        <v>-149095.56659999999</v>
      </c>
      <c r="E5" s="8">
        <f t="shared" ref="E5:E6" si="1">D39</f>
        <v>-130578.53043</v>
      </c>
      <c r="F5" s="8">
        <f t="shared" ref="F5:F6" si="2">E39</f>
        <v>-121132.41581000001</v>
      </c>
      <c r="G5" s="8">
        <f t="shared" ref="G5:G6" si="3">F39</f>
        <v>-139704.76602000001</v>
      </c>
      <c r="H5" s="8">
        <f t="shared" ref="H5:H6" si="4">G39</f>
        <v>-127163.67423</v>
      </c>
      <c r="I5" s="8">
        <f t="shared" ref="I5:I6" si="5">H39</f>
        <v>-116446.02711000002</v>
      </c>
      <c r="J5" s="8">
        <f t="shared" ref="J5:J6" si="6">I39</f>
        <v>-94334.797870000024</v>
      </c>
      <c r="K5" s="8">
        <f t="shared" ref="K5:K6" si="7">J39</f>
        <v>-81479.455030000026</v>
      </c>
      <c r="L5" s="8">
        <f t="shared" ref="L5:L6" si="8">K39</f>
        <v>-74897.51880000002</v>
      </c>
      <c r="M5" s="8">
        <f t="shared" ref="M5:M6" si="9">L39</f>
        <v>-56184.837410000007</v>
      </c>
      <c r="N5" s="8">
        <f>B5</f>
        <v>-161308.73000000001</v>
      </c>
    </row>
    <row r="6" spans="1:18" ht="21" customHeight="1" thickBot="1" x14ac:dyDescent="0.3">
      <c r="A6" s="7" t="s">
        <v>13</v>
      </c>
      <c r="B6" s="8">
        <v>-272043.24</v>
      </c>
      <c r="C6" s="8">
        <f t="shared" si="0"/>
        <v>-273475.08999999997</v>
      </c>
      <c r="D6" s="8">
        <f t="shared" si="0"/>
        <v>-276075.01</v>
      </c>
      <c r="E6" s="8">
        <f t="shared" si="1"/>
        <v>-255774.69000000006</v>
      </c>
      <c r="F6" s="8">
        <f t="shared" si="2"/>
        <v>-249867.55000000005</v>
      </c>
      <c r="G6" s="8">
        <f t="shared" si="3"/>
        <v>-248685.65000000005</v>
      </c>
      <c r="H6" s="8">
        <f t="shared" si="4"/>
        <v>-243599.25000000009</v>
      </c>
      <c r="I6" s="8">
        <f t="shared" si="5"/>
        <v>-234065.41000000012</v>
      </c>
      <c r="J6" s="8">
        <f t="shared" si="6"/>
        <v>-220510.74000000011</v>
      </c>
      <c r="K6" s="8">
        <f t="shared" si="7"/>
        <v>-218220.19000000012</v>
      </c>
      <c r="L6" s="8">
        <f t="shared" si="8"/>
        <v>-220292.18000000011</v>
      </c>
      <c r="M6" s="8">
        <f t="shared" si="9"/>
        <v>-215007.1700000001</v>
      </c>
      <c r="N6" s="8">
        <f>B6</f>
        <v>-272043.24</v>
      </c>
    </row>
    <row r="7" spans="1:18" ht="20.25" customHeight="1" thickBot="1" x14ac:dyDescent="0.3">
      <c r="A7" s="9" t="s">
        <v>12</v>
      </c>
      <c r="B7" s="10">
        <f>SUM(B8:B14)</f>
        <v>34648.120000000003</v>
      </c>
      <c r="C7" s="10">
        <f t="shared" ref="C7:M7" si="10">SUM(C8:C14)</f>
        <v>31980.78</v>
      </c>
      <c r="D7" s="10">
        <f t="shared" si="10"/>
        <v>34489.910000000003</v>
      </c>
      <c r="E7" s="10">
        <f t="shared" si="10"/>
        <v>32933.06</v>
      </c>
      <c r="F7" s="10">
        <f t="shared" si="10"/>
        <v>34638.570000000007</v>
      </c>
      <c r="G7" s="10">
        <f t="shared" si="10"/>
        <v>35529.570000000007</v>
      </c>
      <c r="H7" s="10">
        <f t="shared" si="10"/>
        <v>31245.56</v>
      </c>
      <c r="I7" s="10">
        <f t="shared" si="10"/>
        <v>36475.22</v>
      </c>
      <c r="J7" s="10">
        <f t="shared" si="10"/>
        <v>36475.22</v>
      </c>
      <c r="K7" s="10">
        <f t="shared" si="10"/>
        <v>37549.99</v>
      </c>
      <c r="L7" s="10">
        <f t="shared" si="10"/>
        <v>39765.270000000004</v>
      </c>
      <c r="M7" s="10">
        <f t="shared" si="10"/>
        <v>36772.400000000001</v>
      </c>
      <c r="N7" s="10">
        <f>SUM(B7:M7)</f>
        <v>422503.67000000004</v>
      </c>
    </row>
    <row r="8" spans="1:18" ht="24.75" customHeight="1" thickBot="1" x14ac:dyDescent="0.3">
      <c r="A8" s="4" t="s">
        <v>25</v>
      </c>
      <c r="B8" s="11">
        <f>26991.41+437.29+1206.32</f>
        <v>28635.02</v>
      </c>
      <c r="C8" s="11">
        <f>26991.41+437.29+1206.32</f>
        <v>28635.02</v>
      </c>
      <c r="D8" s="11">
        <f>26991.41+437.29+1206.32</f>
        <v>28635.02</v>
      </c>
      <c r="E8" s="11">
        <f>26977.09+437.06+1205.68</f>
        <v>28619.83</v>
      </c>
      <c r="F8" s="11">
        <f>26977.09+437.06+1205.68</f>
        <v>28619.83</v>
      </c>
      <c r="G8" s="11">
        <f>26977.09+437.06+1205.68</f>
        <v>28619.83</v>
      </c>
      <c r="H8" s="11">
        <f>26977.09+437.06+1205.68</f>
        <v>28619.83</v>
      </c>
      <c r="I8" s="11">
        <f>32372.52-3131.97+11540.24-6931.3</f>
        <v>33849.49</v>
      </c>
      <c r="J8" s="11">
        <f>32372.52+1476.97</f>
        <v>33849.49</v>
      </c>
      <c r="K8" s="11">
        <f>32372.52+1476.97</f>
        <v>33849.49</v>
      </c>
      <c r="L8" s="11">
        <f>32372.52+1476.97</f>
        <v>33849.49</v>
      </c>
      <c r="M8" s="11">
        <f>32372.52+1476.97</f>
        <v>33849.49</v>
      </c>
      <c r="N8" s="11">
        <f>SUM(B8:M8)</f>
        <v>369631.82999999996</v>
      </c>
    </row>
    <row r="9" spans="1:18" ht="24.75" customHeight="1" thickBot="1" x14ac:dyDescent="0.3">
      <c r="A9" s="4" t="s">
        <v>16</v>
      </c>
      <c r="B9" s="11">
        <v>48.35</v>
      </c>
      <c r="C9" s="11">
        <v>0</v>
      </c>
      <c r="D9" s="11">
        <v>38.630000000000003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1074.77</v>
      </c>
      <c r="L9" s="11">
        <v>0</v>
      </c>
      <c r="M9" s="11">
        <v>0</v>
      </c>
      <c r="N9" s="11">
        <f t="shared" ref="N9:N14" si="11">SUM(B9:M9)</f>
        <v>1161.75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4.75" customHeight="1" thickBot="1" x14ac:dyDescent="0.3">
      <c r="A11" s="4" t="s">
        <v>18</v>
      </c>
      <c r="B11" s="11">
        <v>3339</v>
      </c>
      <c r="C11" s="11">
        <v>720.01</v>
      </c>
      <c r="D11" s="11">
        <v>3190.51</v>
      </c>
      <c r="E11" s="11">
        <v>1687.5</v>
      </c>
      <c r="F11" s="11">
        <v>3393.01</v>
      </c>
      <c r="G11" s="11">
        <v>4284.01</v>
      </c>
      <c r="H11" s="11">
        <v>0</v>
      </c>
      <c r="I11" s="11">
        <v>0</v>
      </c>
      <c r="J11" s="11">
        <v>0</v>
      </c>
      <c r="K11" s="11">
        <v>0</v>
      </c>
      <c r="L11" s="11">
        <v>3290.05</v>
      </c>
      <c r="M11" s="11">
        <v>257.43</v>
      </c>
      <c r="N11" s="11">
        <f t="shared" si="11"/>
        <v>20161.52</v>
      </c>
    </row>
    <row r="12" spans="1:18" ht="24.75" customHeight="1" thickBot="1" x14ac:dyDescent="0.3">
      <c r="A12" s="4" t="s">
        <v>24</v>
      </c>
      <c r="B12" s="11">
        <v>124.95</v>
      </c>
      <c r="C12" s="11">
        <v>124.95</v>
      </c>
      <c r="D12" s="11">
        <v>124.95</v>
      </c>
      <c r="E12" s="11">
        <v>124.93</v>
      </c>
      <c r="F12" s="11">
        <v>124.93</v>
      </c>
      <c r="G12" s="11">
        <v>124.93</v>
      </c>
      <c r="H12" s="11">
        <v>124.93</v>
      </c>
      <c r="I12" s="11">
        <v>124.93</v>
      </c>
      <c r="J12" s="11">
        <v>124.93</v>
      </c>
      <c r="K12" s="11">
        <v>124.93</v>
      </c>
      <c r="L12" s="11">
        <v>124.93</v>
      </c>
      <c r="M12" s="11">
        <v>164.68</v>
      </c>
      <c r="N12" s="11">
        <f t="shared" si="11"/>
        <v>1538.9700000000005</v>
      </c>
    </row>
    <row r="13" spans="1:18" ht="24.75" customHeight="1" thickBot="1" x14ac:dyDescent="0.3">
      <c r="A13" s="4" t="s">
        <v>42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1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1"/>
        <v>7200</v>
      </c>
    </row>
    <row r="15" spans="1:18" ht="20.25" customHeight="1" thickBot="1" x14ac:dyDescent="0.3">
      <c r="A15" s="12" t="s">
        <v>8</v>
      </c>
      <c r="B15" s="13">
        <f>SUM(B16:B22)</f>
        <v>33216.269999999997</v>
      </c>
      <c r="C15" s="13">
        <f t="shared" ref="C15:M15" si="12">SUM(C16:C22)</f>
        <v>29380.860000000004</v>
      </c>
      <c r="D15" s="13">
        <f t="shared" si="12"/>
        <v>54790.229999999996</v>
      </c>
      <c r="E15" s="13">
        <f t="shared" si="12"/>
        <v>38840.200000000004</v>
      </c>
      <c r="F15" s="13">
        <f t="shared" si="12"/>
        <v>35820.47</v>
      </c>
      <c r="G15" s="13">
        <f t="shared" si="12"/>
        <v>40615.97</v>
      </c>
      <c r="H15" s="13">
        <f t="shared" si="12"/>
        <v>40779.399999999987</v>
      </c>
      <c r="I15" s="13">
        <f t="shared" si="12"/>
        <v>50029.89</v>
      </c>
      <c r="J15" s="13">
        <f t="shared" si="12"/>
        <v>38765.769999999997</v>
      </c>
      <c r="K15" s="13">
        <f t="shared" si="12"/>
        <v>35478.000000000007</v>
      </c>
      <c r="L15" s="13">
        <f t="shared" si="12"/>
        <v>45050.280000000013</v>
      </c>
      <c r="M15" s="13">
        <f t="shared" si="12"/>
        <v>39641.319999999992</v>
      </c>
      <c r="N15" s="13">
        <f>SUM(B15:M15)</f>
        <v>482408.66000000003</v>
      </c>
    </row>
    <row r="16" spans="1:18" ht="24" customHeight="1" thickBot="1" x14ac:dyDescent="0.3">
      <c r="A16" s="4" t="s">
        <v>26</v>
      </c>
      <c r="B16" s="11">
        <f>25324.48+382.9+1110.58</f>
        <v>26817.96</v>
      </c>
      <c r="C16" s="11">
        <f>22189.45+425.83+1174.79</f>
        <v>23790.070000000003</v>
      </c>
      <c r="D16" s="11">
        <f>47912.42+644.48+1774.9</f>
        <v>50331.8</v>
      </c>
      <c r="E16" s="11">
        <f>26367.79+673.76+1857.67</f>
        <v>28899.22</v>
      </c>
      <c r="F16" s="11">
        <f>28885.86+466.05+1289.1</f>
        <v>30641.01</v>
      </c>
      <c r="G16" s="11">
        <f>32258.42+455.34+35.51+1165.42</f>
        <v>33914.689999999995</v>
      </c>
      <c r="H16" s="11">
        <f>31591.84+386.46+6.94+1050.42</f>
        <v>33035.659999999996</v>
      </c>
      <c r="I16" s="11">
        <f>41817.6+123.87+49.68+1800.92+282.54</f>
        <v>44074.61</v>
      </c>
      <c r="J16" s="11">
        <f>33490.62+41.31+1805.76</f>
        <v>35337.69</v>
      </c>
      <c r="K16" s="11">
        <f>30998.45+18.77+1470.52</f>
        <v>32487.74</v>
      </c>
      <c r="L16" s="11">
        <f>38250.45+39.8+1942.73</f>
        <v>40232.980000000003</v>
      </c>
      <c r="M16" s="11">
        <f>32509.93+16.88+1680.68</f>
        <v>34207.49</v>
      </c>
      <c r="N16" s="11">
        <f>SUM(B16:M16)</f>
        <v>413770.92</v>
      </c>
    </row>
    <row r="17" spans="1:15" ht="26.25" customHeight="1" thickBot="1" x14ac:dyDescent="0.3">
      <c r="A17" s="4" t="s">
        <v>16</v>
      </c>
      <c r="B17" s="11">
        <v>300.77999999999997</v>
      </c>
      <c r="C17" s="11">
        <v>284.39999999999998</v>
      </c>
      <c r="D17" s="11">
        <v>1057.99</v>
      </c>
      <c r="E17" s="11">
        <v>1535.95</v>
      </c>
      <c r="F17" s="11">
        <v>0.55000000000000004</v>
      </c>
      <c r="G17" s="11">
        <v>801.55</v>
      </c>
      <c r="H17" s="11">
        <v>706.7</v>
      </c>
      <c r="I17" s="11">
        <v>993.16</v>
      </c>
      <c r="J17" s="11">
        <v>560.85</v>
      </c>
      <c r="K17" s="11">
        <v>500.75</v>
      </c>
      <c r="L17" s="11">
        <v>1407.75</v>
      </c>
      <c r="M17" s="11">
        <v>326.79000000000002</v>
      </c>
      <c r="N17" s="11">
        <f>SUM(B17:M17)</f>
        <v>8477.2200000000012</v>
      </c>
    </row>
    <row r="18" spans="1:15" ht="26.25" customHeight="1" thickBot="1" x14ac:dyDescent="0.3">
      <c r="A18" s="4" t="s">
        <v>17</v>
      </c>
      <c r="B18" s="11">
        <v>4.4800000000000004</v>
      </c>
      <c r="C18" s="11">
        <v>0</v>
      </c>
      <c r="D18" s="11">
        <v>8.99</v>
      </c>
      <c r="E18" s="11">
        <v>25.49</v>
      </c>
      <c r="F18" s="11">
        <v>0</v>
      </c>
      <c r="G18" s="11">
        <v>36.96</v>
      </c>
      <c r="H18" s="11">
        <v>15.67</v>
      </c>
      <c r="I18" s="11">
        <v>48.75</v>
      </c>
      <c r="J18" s="11">
        <v>30.6</v>
      </c>
      <c r="K18" s="11">
        <v>19</v>
      </c>
      <c r="L18" s="11">
        <v>47.41</v>
      </c>
      <c r="M18" s="11">
        <v>35.880000000000003</v>
      </c>
      <c r="N18" s="11">
        <f t="shared" ref="N18:N22" si="13">SUM(B18:M18)</f>
        <v>273.23</v>
      </c>
    </row>
    <row r="19" spans="1:15" ht="26.25" customHeight="1" thickBot="1" x14ac:dyDescent="0.3">
      <c r="A19" s="4" t="s">
        <v>18</v>
      </c>
      <c r="B19" s="11">
        <v>2987.95</v>
      </c>
      <c r="C19" s="11">
        <v>2649.88</v>
      </c>
      <c r="D19" s="11">
        <v>1175.81</v>
      </c>
      <c r="E19" s="11">
        <v>4451.9399999999996</v>
      </c>
      <c r="F19" s="11">
        <v>2442.36</v>
      </c>
      <c r="G19" s="11">
        <v>3191.73</v>
      </c>
      <c r="H19" s="11">
        <v>4118.63</v>
      </c>
      <c r="I19" s="11">
        <v>1773.7</v>
      </c>
      <c r="J19" s="11">
        <v>539.57000000000005</v>
      </c>
      <c r="K19" s="11">
        <v>218.85</v>
      </c>
      <c r="L19" s="11">
        <v>555.73</v>
      </c>
      <c r="M19" s="11">
        <v>2844.32</v>
      </c>
      <c r="N19" s="11">
        <f t="shared" si="13"/>
        <v>26950.469999999998</v>
      </c>
    </row>
    <row r="20" spans="1:15" ht="26.25" customHeight="1" thickBot="1" x14ac:dyDescent="0.3">
      <c r="A20" s="4" t="s">
        <v>24</v>
      </c>
      <c r="B20" s="11">
        <v>112.66</v>
      </c>
      <c r="C20" s="11">
        <v>103.1</v>
      </c>
      <c r="D20" s="11">
        <v>137.24</v>
      </c>
      <c r="E20" s="11">
        <v>201.2</v>
      </c>
      <c r="F20" s="11">
        <v>133.54</v>
      </c>
      <c r="G20" s="11">
        <v>175.08</v>
      </c>
      <c r="H20" s="11">
        <v>156.04</v>
      </c>
      <c r="I20" s="11">
        <v>201.51</v>
      </c>
      <c r="J20" s="11">
        <v>143.71</v>
      </c>
      <c r="K20" s="11">
        <v>127.04</v>
      </c>
      <c r="L20" s="11">
        <v>159.86000000000001</v>
      </c>
      <c r="M20" s="11">
        <v>132.31</v>
      </c>
      <c r="N20" s="11">
        <f t="shared" si="13"/>
        <v>1783.29</v>
      </c>
    </row>
    <row r="21" spans="1:15" ht="26.25" customHeight="1" thickBot="1" x14ac:dyDescent="0.3">
      <c r="A21" s="4" t="s">
        <v>42</v>
      </c>
      <c r="B21" s="11">
        <v>2392.44</v>
      </c>
      <c r="C21" s="11">
        <v>1953.41</v>
      </c>
      <c r="D21" s="11">
        <v>1478.4</v>
      </c>
      <c r="E21" s="11">
        <v>3326.4</v>
      </c>
      <c r="F21" s="11">
        <v>2203.0100000000002</v>
      </c>
      <c r="G21" s="11">
        <v>2095.96</v>
      </c>
      <c r="H21" s="11">
        <v>2346.6999999999998</v>
      </c>
      <c r="I21" s="11">
        <v>2538.16</v>
      </c>
      <c r="J21" s="11">
        <v>1753.35</v>
      </c>
      <c r="K21" s="11">
        <v>1724.62</v>
      </c>
      <c r="L21" s="11">
        <v>2246.5500000000002</v>
      </c>
      <c r="M21" s="11">
        <v>1694.53</v>
      </c>
      <c r="N21" s="11">
        <f t="shared" si="13"/>
        <v>25753.529999999995</v>
      </c>
    </row>
    <row r="22" spans="1:15" ht="26.25" customHeight="1" thickBot="1" x14ac:dyDescent="0.3">
      <c r="A22" s="4" t="s">
        <v>14</v>
      </c>
      <c r="B22" s="14">
        <v>600</v>
      </c>
      <c r="C22" s="14">
        <v>600</v>
      </c>
      <c r="D22" s="14">
        <v>600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3"/>
        <v>5400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G24" si="14">1507.9*0.55</f>
        <v>829.34500000000014</v>
      </c>
      <c r="C24" s="11">
        <f t="shared" si="14"/>
        <v>829.34500000000014</v>
      </c>
      <c r="D24" s="11">
        <f t="shared" si="14"/>
        <v>829.34500000000014</v>
      </c>
      <c r="E24" s="11">
        <f t="shared" si="14"/>
        <v>829.34500000000014</v>
      </c>
      <c r="F24" s="11">
        <f t="shared" si="14"/>
        <v>829.34500000000014</v>
      </c>
      <c r="G24" s="11">
        <f t="shared" si="14"/>
        <v>829.34500000000014</v>
      </c>
      <c r="H24" s="11">
        <f>1507.1*0.55</f>
        <v>828.90499999999997</v>
      </c>
      <c r="I24" s="11">
        <f t="shared" ref="I24:K24" si="15">1507.1*0.55</f>
        <v>828.90499999999997</v>
      </c>
      <c r="J24" s="11">
        <f t="shared" si="15"/>
        <v>828.90499999999997</v>
      </c>
      <c r="K24" s="11">
        <f t="shared" si="15"/>
        <v>828.90499999999997</v>
      </c>
      <c r="L24" s="11">
        <f>1507.1*0.6</f>
        <v>904.25999999999988</v>
      </c>
      <c r="M24" s="11">
        <f>1507.1*0.6</f>
        <v>904.25999999999988</v>
      </c>
      <c r="N24" s="11">
        <f>SUM(B24:M24)</f>
        <v>10100.210000000001</v>
      </c>
    </row>
    <row r="25" spans="1:15" ht="22.5" customHeight="1" thickBot="1" x14ac:dyDescent="0.3">
      <c r="A25" s="4" t="s">
        <v>2</v>
      </c>
      <c r="B25" s="11">
        <f t="shared" ref="B25:G25" si="16">1507.9*0.17</f>
        <v>256.34300000000002</v>
      </c>
      <c r="C25" s="11">
        <f t="shared" si="16"/>
        <v>256.34300000000002</v>
      </c>
      <c r="D25" s="11">
        <f t="shared" si="16"/>
        <v>256.34300000000002</v>
      </c>
      <c r="E25" s="11">
        <f t="shared" si="16"/>
        <v>256.34300000000002</v>
      </c>
      <c r="F25" s="11">
        <f t="shared" si="16"/>
        <v>256.34300000000002</v>
      </c>
      <c r="G25" s="11">
        <f t="shared" si="16"/>
        <v>256.34300000000002</v>
      </c>
      <c r="H25" s="11">
        <f>1507.1*0.17</f>
        <v>256.20699999999999</v>
      </c>
      <c r="I25" s="11">
        <f>1507.1*0.17</f>
        <v>256.20699999999999</v>
      </c>
      <c r="J25" s="11">
        <f>1507.1*0.17</f>
        <v>256.20699999999999</v>
      </c>
      <c r="K25" s="11">
        <f t="shared" ref="K25:M25" si="17">1507.1*0.17</f>
        <v>256.20699999999999</v>
      </c>
      <c r="L25" s="11">
        <f t="shared" si="17"/>
        <v>256.20699999999999</v>
      </c>
      <c r="M25" s="11">
        <f t="shared" si="17"/>
        <v>256.20699999999999</v>
      </c>
      <c r="N25" s="11">
        <f t="shared" ref="N25:N36" si="18">SUM(B25:M25)</f>
        <v>3075.2999999999997</v>
      </c>
    </row>
    <row r="26" spans="1:15" ht="21" customHeight="1" thickBot="1" x14ac:dyDescent="0.3">
      <c r="A26" s="4" t="s">
        <v>3</v>
      </c>
      <c r="B26" s="11">
        <f>34048.12*2.3%</f>
        <v>783.10676000000001</v>
      </c>
      <c r="C26" s="11">
        <f>31380.78*2.3%</f>
        <v>721.75793999999996</v>
      </c>
      <c r="D26" s="11">
        <f>33889.91*2.3%</f>
        <v>779.46793000000002</v>
      </c>
      <c r="E26" s="11">
        <f>32333.06*2.3%</f>
        <v>743.66038000000003</v>
      </c>
      <c r="F26" s="11">
        <f>34038.57*2.3%</f>
        <v>782.88711000000001</v>
      </c>
      <c r="G26" s="11">
        <f>34929.57*2.3%</f>
        <v>803.38010999999995</v>
      </c>
      <c r="H26" s="11">
        <f>30645.56*2.3%</f>
        <v>704.84788000000003</v>
      </c>
      <c r="I26" s="11">
        <f>35875.22*2.3%</f>
        <v>825.13005999999996</v>
      </c>
      <c r="J26" s="11">
        <f>35875.22*2.3%</f>
        <v>825.13005999999996</v>
      </c>
      <c r="K26" s="11">
        <f>36949.99*2.3%</f>
        <v>849.84976999999992</v>
      </c>
      <c r="L26" s="11">
        <f>39165.27*2.3%</f>
        <v>900.80120999999986</v>
      </c>
      <c r="M26" s="11">
        <f>36172.4*2.3%</f>
        <v>831.96519999999998</v>
      </c>
      <c r="N26" s="11">
        <f t="shared" si="18"/>
        <v>9551.9844100000009</v>
      </c>
    </row>
    <row r="27" spans="1:15" ht="23.25" customHeight="1" thickBot="1" x14ac:dyDescent="0.3">
      <c r="A27" s="4" t="s">
        <v>4</v>
      </c>
      <c r="B27" s="11">
        <f>32616.27*3%</f>
        <v>978.48810000000003</v>
      </c>
      <c r="C27" s="11">
        <f>28780.86*3%</f>
        <v>863.42579999999998</v>
      </c>
      <c r="D27" s="11">
        <f>54190.23*3%</f>
        <v>1625.7069000000001</v>
      </c>
      <c r="E27" s="11">
        <f>38440.2*3%</f>
        <v>1153.2059999999999</v>
      </c>
      <c r="F27" s="11">
        <f>35420.47*3%</f>
        <v>1062.6141</v>
      </c>
      <c r="G27" s="11">
        <f>40215.97*3%</f>
        <v>1206.4791</v>
      </c>
      <c r="H27" s="11">
        <f>40379.4*3%</f>
        <v>1211.3820000000001</v>
      </c>
      <c r="I27" s="11">
        <f>49629.89*3%</f>
        <v>1488.8967</v>
      </c>
      <c r="J27" s="11">
        <f>38365.77*3%</f>
        <v>1150.9730999999999</v>
      </c>
      <c r="K27" s="11">
        <f>35078*3%</f>
        <v>1052.3399999999999</v>
      </c>
      <c r="L27" s="11">
        <f>44650.28*3%</f>
        <v>1339.5083999999999</v>
      </c>
      <c r="M27" s="11">
        <f>39241.32*3%</f>
        <v>1177.2395999999999</v>
      </c>
      <c r="N27" s="11">
        <f t="shared" si="18"/>
        <v>14310.2598</v>
      </c>
    </row>
    <row r="28" spans="1:15" ht="23.25" customHeight="1" thickBot="1" x14ac:dyDescent="0.3">
      <c r="A28" s="4" t="s">
        <v>9</v>
      </c>
      <c r="B28" s="19">
        <f t="shared" ref="B28:G28" si="19">1507.9*8.5</f>
        <v>12817.150000000001</v>
      </c>
      <c r="C28" s="19">
        <f t="shared" si="19"/>
        <v>12817.150000000001</v>
      </c>
      <c r="D28" s="19">
        <f t="shared" si="19"/>
        <v>12817.150000000001</v>
      </c>
      <c r="E28" s="19">
        <f t="shared" si="19"/>
        <v>12817.150000000001</v>
      </c>
      <c r="F28" s="19">
        <f t="shared" si="19"/>
        <v>12817.150000000001</v>
      </c>
      <c r="G28" s="19">
        <f t="shared" si="19"/>
        <v>12817.150000000001</v>
      </c>
      <c r="H28" s="19">
        <f>1507.9*9.7</f>
        <v>14626.63</v>
      </c>
      <c r="I28" s="19">
        <f t="shared" ref="I28:M28" si="20">1507.9*9.7</f>
        <v>14626.63</v>
      </c>
      <c r="J28" s="19">
        <f t="shared" si="20"/>
        <v>14626.63</v>
      </c>
      <c r="K28" s="19">
        <f t="shared" si="20"/>
        <v>14626.63</v>
      </c>
      <c r="L28" s="19">
        <f t="shared" si="20"/>
        <v>14626.63</v>
      </c>
      <c r="M28" s="19">
        <f t="shared" si="20"/>
        <v>14626.63</v>
      </c>
      <c r="N28" s="11">
        <f t="shared" si="18"/>
        <v>164662.68000000002</v>
      </c>
    </row>
    <row r="29" spans="1:15" ht="26.25" customHeight="1" thickBot="1" x14ac:dyDescent="0.3">
      <c r="A29" s="4" t="s">
        <v>19</v>
      </c>
      <c r="B29" s="11">
        <v>0</v>
      </c>
      <c r="C29" s="11">
        <f>0+38.65</f>
        <v>38.65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1063.84+10.95</f>
        <v>1074.79</v>
      </c>
      <c r="K29" s="11">
        <v>0</v>
      </c>
      <c r="L29" s="11">
        <v>0</v>
      </c>
      <c r="M29" s="11">
        <v>0</v>
      </c>
      <c r="N29" s="11">
        <f t="shared" si="18"/>
        <v>1113.44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8"/>
        <v>0</v>
      </c>
    </row>
    <row r="31" spans="1:15" ht="26.25" customHeight="1" thickBot="1" x14ac:dyDescent="0.3">
      <c r="A31" s="4" t="s">
        <v>21</v>
      </c>
      <c r="B31" s="11">
        <v>720</v>
      </c>
      <c r="C31" s="11">
        <v>3190.5</v>
      </c>
      <c r="D31" s="11">
        <v>1687.5</v>
      </c>
      <c r="E31" s="11">
        <v>3393</v>
      </c>
      <c r="F31" s="11">
        <v>4284</v>
      </c>
      <c r="G31" s="11">
        <v>0</v>
      </c>
      <c r="H31" s="11">
        <v>0</v>
      </c>
      <c r="I31" s="11">
        <v>0</v>
      </c>
      <c r="J31" s="11">
        <v>0</v>
      </c>
      <c r="K31" s="11">
        <v>3290.04</v>
      </c>
      <c r="L31" s="11">
        <v>257.39999999999998</v>
      </c>
      <c r="M31" s="11">
        <v>3712.8</v>
      </c>
      <c r="N31" s="11">
        <f t="shared" si="18"/>
        <v>20535.240000000002</v>
      </c>
    </row>
    <row r="32" spans="1:15" ht="26.25" customHeight="1" thickBot="1" x14ac:dyDescent="0.3">
      <c r="A32" s="4" t="s">
        <v>24</v>
      </c>
      <c r="B32" s="11">
        <v>124.93</v>
      </c>
      <c r="C32" s="11">
        <v>124.93</v>
      </c>
      <c r="D32" s="11">
        <v>124.93</v>
      </c>
      <c r="E32" s="11">
        <v>124.93</v>
      </c>
      <c r="F32" s="11">
        <v>124.93</v>
      </c>
      <c r="G32" s="11">
        <v>124.93</v>
      </c>
      <c r="H32" s="11">
        <v>124.93</v>
      </c>
      <c r="I32" s="11">
        <v>124.93</v>
      </c>
      <c r="J32" s="11">
        <v>124.93</v>
      </c>
      <c r="K32" s="11">
        <v>124.93</v>
      </c>
      <c r="L32" s="11">
        <v>124.93</v>
      </c>
      <c r="M32" s="11">
        <v>164.74</v>
      </c>
      <c r="N32" s="11">
        <f t="shared" si="18"/>
        <v>1538.9700000000005</v>
      </c>
    </row>
    <row r="33" spans="1:14" ht="22.5" customHeight="1" thickBot="1" x14ac:dyDescent="0.3">
      <c r="A33" s="4" t="s">
        <v>6</v>
      </c>
      <c r="B33" s="19">
        <f t="shared" ref="B33:H33" si="21">1507.9*2.69</f>
        <v>4056.2510000000002</v>
      </c>
      <c r="C33" s="19">
        <f t="shared" si="21"/>
        <v>4056.2510000000002</v>
      </c>
      <c r="D33" s="19">
        <f t="shared" si="21"/>
        <v>4056.2510000000002</v>
      </c>
      <c r="E33" s="19">
        <f t="shared" si="21"/>
        <v>4056.2510000000002</v>
      </c>
      <c r="F33" s="19">
        <f t="shared" si="21"/>
        <v>4056.2510000000002</v>
      </c>
      <c r="G33" s="19">
        <f t="shared" si="21"/>
        <v>4056.2510000000002</v>
      </c>
      <c r="H33" s="19">
        <f t="shared" si="21"/>
        <v>4056.2510000000002</v>
      </c>
      <c r="I33" s="19">
        <f>1507.1*3.22</f>
        <v>4852.8620000000001</v>
      </c>
      <c r="J33" s="19">
        <f>1507.1*3.22</f>
        <v>4852.8620000000001</v>
      </c>
      <c r="K33" s="19">
        <f t="shared" ref="K33:M33" si="22">1507.1*3.22</f>
        <v>4852.8620000000001</v>
      </c>
      <c r="L33" s="19">
        <f t="shared" si="22"/>
        <v>4852.8620000000001</v>
      </c>
      <c r="M33" s="19">
        <f t="shared" si="22"/>
        <v>4852.8620000000001</v>
      </c>
      <c r="N33" s="11">
        <f t="shared" si="18"/>
        <v>52658.067000000003</v>
      </c>
    </row>
    <row r="34" spans="1:14" ht="22.5" customHeight="1" thickBot="1" x14ac:dyDescent="0.3">
      <c r="A34" s="4" t="s">
        <v>40</v>
      </c>
      <c r="B34" s="11">
        <f>1140</f>
        <v>1140</v>
      </c>
      <c r="C34" s="11">
        <f>1140</f>
        <v>1140</v>
      </c>
      <c r="D34" s="11">
        <f>1140</f>
        <v>1140</v>
      </c>
      <c r="E34" s="11">
        <f>1140</f>
        <v>1140</v>
      </c>
      <c r="F34" s="11">
        <f>1140</f>
        <v>1140</v>
      </c>
      <c r="G34" s="11">
        <v>900</v>
      </c>
      <c r="H34" s="11">
        <v>900</v>
      </c>
      <c r="I34" s="11">
        <v>900</v>
      </c>
      <c r="J34" s="11">
        <v>900</v>
      </c>
      <c r="K34" s="11">
        <f>900</f>
        <v>900</v>
      </c>
      <c r="L34" s="11">
        <f>900</f>
        <v>900</v>
      </c>
      <c r="M34" s="11">
        <f>900</f>
        <v>900</v>
      </c>
      <c r="N34" s="11">
        <f t="shared" si="18"/>
        <v>12000</v>
      </c>
    </row>
    <row r="35" spans="1:14" ht="21.75" customHeight="1" thickBot="1" x14ac:dyDescent="0.3">
      <c r="A35" s="4" t="s">
        <v>42</v>
      </c>
      <c r="B35" s="11">
        <v>2215</v>
      </c>
      <c r="C35" s="11">
        <v>2320</v>
      </c>
      <c r="D35" s="11">
        <v>1150</v>
      </c>
      <c r="E35" s="11">
        <v>3350</v>
      </c>
      <c r="F35" s="11">
        <v>2085</v>
      </c>
      <c r="G35" s="11">
        <v>1985</v>
      </c>
      <c r="H35" s="11">
        <v>2272</v>
      </c>
      <c r="I35" s="11">
        <v>2200</v>
      </c>
      <c r="J35" s="11">
        <v>1270</v>
      </c>
      <c r="K35" s="11">
        <v>1760</v>
      </c>
      <c r="L35" s="11">
        <v>2175</v>
      </c>
      <c r="M35" s="11">
        <v>1555</v>
      </c>
      <c r="N35" s="11">
        <f t="shared" si="18"/>
        <v>24337</v>
      </c>
    </row>
    <row r="36" spans="1:14" ht="24" customHeight="1" thickBot="1" x14ac:dyDescent="0.3">
      <c r="A36" s="4" t="s">
        <v>10</v>
      </c>
      <c r="B36" s="11">
        <f>105</f>
        <v>105</v>
      </c>
      <c r="C36" s="11">
        <v>0</v>
      </c>
      <c r="D36" s="11">
        <f>6052.5+5754</f>
        <v>11806.5</v>
      </c>
      <c r="E36" s="11">
        <f>1258.2+272</f>
        <v>1530.2</v>
      </c>
      <c r="F36" s="11">
        <f>6454.7+9447+11052.6</f>
        <v>26954.300000000003</v>
      </c>
      <c r="G36" s="11">
        <f>5096</f>
        <v>5096</v>
      </c>
      <c r="H36" s="11">
        <f>5080.6</f>
        <v>5080.6000000000004</v>
      </c>
      <c r="I36" s="11">
        <f>1815.1</f>
        <v>1815.1</v>
      </c>
      <c r="J36" s="11">
        <v>0</v>
      </c>
      <c r="K36" s="11">
        <f>269.3+85</f>
        <v>354.3</v>
      </c>
      <c r="L36" s="11">
        <v>0</v>
      </c>
      <c r="M36" s="11">
        <v>0</v>
      </c>
      <c r="N36" s="11">
        <f t="shared" si="18"/>
        <v>52742</v>
      </c>
    </row>
    <row r="37" spans="1:14" ht="22.5" customHeight="1" thickBot="1" x14ac:dyDescent="0.3">
      <c r="A37" s="9" t="s">
        <v>22</v>
      </c>
      <c r="B37" s="10">
        <f t="shared" ref="B37:M37" si="23">SUM(B24:B36)</f>
        <v>24025.613860000001</v>
      </c>
      <c r="C37" s="10">
        <f t="shared" si="23"/>
        <v>26358.352740000002</v>
      </c>
      <c r="D37" s="10">
        <f t="shared" si="23"/>
        <v>36273.193830000004</v>
      </c>
      <c r="E37" s="10">
        <f t="shared" si="23"/>
        <v>29394.085380000004</v>
      </c>
      <c r="F37" s="10">
        <f t="shared" si="23"/>
        <v>54392.820210000005</v>
      </c>
      <c r="G37" s="10">
        <f t="shared" si="23"/>
        <v>28074.878210000003</v>
      </c>
      <c r="H37" s="10">
        <f t="shared" si="23"/>
        <v>30061.75288</v>
      </c>
      <c r="I37" s="10">
        <f t="shared" si="23"/>
        <v>27918.660759999999</v>
      </c>
      <c r="J37" s="10">
        <f t="shared" si="23"/>
        <v>25910.427159999999</v>
      </c>
      <c r="K37" s="10">
        <f t="shared" si="23"/>
        <v>28896.063770000001</v>
      </c>
      <c r="L37" s="10">
        <f t="shared" si="23"/>
        <v>26337.598610000001</v>
      </c>
      <c r="M37" s="10">
        <f t="shared" si="23"/>
        <v>28981.703799999999</v>
      </c>
      <c r="N37" s="10">
        <f>SUM(B37:M37)</f>
        <v>366625.15121000004</v>
      </c>
    </row>
    <row r="38" spans="1:14" ht="23.25" customHeight="1" thickBot="1" x14ac:dyDescent="0.3">
      <c r="A38" s="4" t="s">
        <v>5</v>
      </c>
      <c r="B38" s="18">
        <f t="shared" ref="B38:M38" si="24">B15-B37</f>
        <v>9190.6561399999955</v>
      </c>
      <c r="C38" s="18">
        <f t="shared" si="24"/>
        <v>3022.5072600000021</v>
      </c>
      <c r="D38" s="18">
        <f t="shared" si="24"/>
        <v>18517.036169999992</v>
      </c>
      <c r="E38" s="18">
        <f t="shared" si="24"/>
        <v>9446.1146200000003</v>
      </c>
      <c r="F38" s="18">
        <f t="shared" si="24"/>
        <v>-18572.350210000004</v>
      </c>
      <c r="G38" s="18">
        <f t="shared" si="24"/>
        <v>12541.091789999999</v>
      </c>
      <c r="H38" s="18">
        <f t="shared" si="24"/>
        <v>10717.647119999987</v>
      </c>
      <c r="I38" s="18">
        <f t="shared" si="24"/>
        <v>22111.229240000001</v>
      </c>
      <c r="J38" s="18">
        <f t="shared" si="24"/>
        <v>12855.342839999998</v>
      </c>
      <c r="K38" s="18">
        <f t="shared" si="24"/>
        <v>6581.9362300000066</v>
      </c>
      <c r="L38" s="18">
        <f t="shared" si="24"/>
        <v>18712.681390000012</v>
      </c>
      <c r="M38" s="18">
        <f t="shared" si="24"/>
        <v>10659.616199999993</v>
      </c>
      <c r="N38" s="11">
        <f>SUM(B38:M38)</f>
        <v>115783.50878999998</v>
      </c>
    </row>
    <row r="39" spans="1:14" ht="23.25" customHeight="1" thickBot="1" x14ac:dyDescent="0.3">
      <c r="A39" s="4" t="s">
        <v>7</v>
      </c>
      <c r="B39" s="14">
        <f t="shared" ref="B39:N39" si="25">B5+B38</f>
        <v>-152118.07386</v>
      </c>
      <c r="C39" s="14">
        <f t="shared" si="25"/>
        <v>-149095.56659999999</v>
      </c>
      <c r="D39" s="14">
        <f t="shared" si="25"/>
        <v>-130578.53043</v>
      </c>
      <c r="E39" s="14">
        <f t="shared" si="25"/>
        <v>-121132.41581000001</v>
      </c>
      <c r="F39" s="14">
        <f t="shared" si="25"/>
        <v>-139704.76602000001</v>
      </c>
      <c r="G39" s="14">
        <f t="shared" si="25"/>
        <v>-127163.67423</v>
      </c>
      <c r="H39" s="20">
        <f t="shared" si="25"/>
        <v>-116446.02711000002</v>
      </c>
      <c r="I39" s="20">
        <f t="shared" si="25"/>
        <v>-94334.797870000024</v>
      </c>
      <c r="J39" s="20">
        <f t="shared" si="25"/>
        <v>-81479.455030000026</v>
      </c>
      <c r="K39" s="20">
        <f t="shared" si="25"/>
        <v>-74897.51880000002</v>
      </c>
      <c r="L39" s="20">
        <f t="shared" si="25"/>
        <v>-56184.837410000007</v>
      </c>
      <c r="M39" s="20">
        <f t="shared" si="25"/>
        <v>-45525.221210000018</v>
      </c>
      <c r="N39" s="20">
        <f t="shared" si="25"/>
        <v>-45525.221210000032</v>
      </c>
    </row>
    <row r="40" spans="1:14" ht="27" customHeight="1" thickBot="1" x14ac:dyDescent="0.3">
      <c r="A40" s="15" t="s">
        <v>11</v>
      </c>
      <c r="B40" s="14">
        <f>B6-B7+B15</f>
        <v>-273475.08999999997</v>
      </c>
      <c r="C40" s="14">
        <f t="shared" ref="C40:N40" si="26">C6-C7+C15</f>
        <v>-276075.01</v>
      </c>
      <c r="D40" s="14">
        <f t="shared" si="26"/>
        <v>-255774.69000000006</v>
      </c>
      <c r="E40" s="14">
        <f t="shared" si="26"/>
        <v>-249867.55000000005</v>
      </c>
      <c r="F40" s="14">
        <f t="shared" si="26"/>
        <v>-248685.65000000005</v>
      </c>
      <c r="G40" s="14">
        <f t="shared" si="26"/>
        <v>-243599.25000000009</v>
      </c>
      <c r="H40" s="14">
        <f t="shared" si="26"/>
        <v>-234065.41000000012</v>
      </c>
      <c r="I40" s="14">
        <f t="shared" si="26"/>
        <v>-220510.74000000011</v>
      </c>
      <c r="J40" s="14">
        <f t="shared" si="26"/>
        <v>-218220.19000000012</v>
      </c>
      <c r="K40" s="14">
        <f t="shared" si="26"/>
        <v>-220292.18000000011</v>
      </c>
      <c r="L40" s="14">
        <f t="shared" si="26"/>
        <v>-215007.1700000001</v>
      </c>
      <c r="M40" s="14">
        <f t="shared" si="26"/>
        <v>-212138.25000000012</v>
      </c>
      <c r="N40" s="14">
        <f t="shared" si="26"/>
        <v>-212138.25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2023-03-02T04:56:56Z</cp:lastPrinted>
  <dcterms:created xsi:type="dcterms:W3CDTF">2011-06-06T03:25:48Z</dcterms:created>
  <dcterms:modified xsi:type="dcterms:W3CDTF">2023-03-21T02:36:22Z</dcterms:modified>
</cp:coreProperties>
</file>