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12" i="1" l="1"/>
  <c r="M14" i="1"/>
  <c r="L14" i="1"/>
  <c r="K14" i="1"/>
  <c r="K12" i="1"/>
  <c r="M38" i="1" l="1"/>
  <c r="L38" i="1" l="1"/>
  <c r="K38" i="1" l="1"/>
  <c r="L31" i="1" l="1"/>
  <c r="K31" i="1"/>
  <c r="L39" i="1" l="1"/>
  <c r="M29" i="1" l="1"/>
  <c r="M17" i="1"/>
  <c r="M28" i="1"/>
  <c r="M8" i="1"/>
  <c r="K39" i="1" l="1"/>
  <c r="B39" i="1" l="1"/>
  <c r="F39" i="1"/>
  <c r="L29" i="1" l="1"/>
  <c r="L17" i="1"/>
  <c r="L28" i="1"/>
  <c r="L8" i="1"/>
  <c r="K29" i="1" l="1"/>
  <c r="K17" i="1"/>
  <c r="K28" i="1"/>
  <c r="K8" i="1"/>
  <c r="L35" i="1" l="1"/>
  <c r="M35" i="1"/>
  <c r="K35" i="1"/>
  <c r="K30" i="1"/>
  <c r="L30" i="1"/>
  <c r="M30" i="1"/>
  <c r="K27" i="1"/>
  <c r="L27" i="1"/>
  <c r="M27" i="1"/>
  <c r="M26" i="1"/>
  <c r="L26" i="1"/>
  <c r="K26" i="1"/>
  <c r="J12" i="1" l="1"/>
  <c r="J14" i="1"/>
  <c r="I14" i="1"/>
  <c r="H12" i="1"/>
  <c r="H14" i="1"/>
  <c r="J31" i="1" l="1"/>
  <c r="I39" i="1" l="1"/>
  <c r="I30" i="1" l="1"/>
  <c r="J30" i="1"/>
  <c r="H30" i="1"/>
  <c r="J29" i="1" l="1"/>
  <c r="J17" i="1"/>
  <c r="J28" i="1"/>
  <c r="J8" i="1"/>
  <c r="H35" i="1"/>
  <c r="I35" i="1"/>
  <c r="J35" i="1"/>
  <c r="H27" i="1"/>
  <c r="I27" i="1"/>
  <c r="J27" i="1"/>
  <c r="H26" i="1"/>
  <c r="I26" i="1"/>
  <c r="J26" i="1"/>
  <c r="C27" i="1"/>
  <c r="D27" i="1"/>
  <c r="E27" i="1"/>
  <c r="F27" i="1"/>
  <c r="G27" i="1"/>
  <c r="B27" i="1"/>
  <c r="C26" i="1"/>
  <c r="D26" i="1"/>
  <c r="E26" i="1"/>
  <c r="F26" i="1"/>
  <c r="G26" i="1"/>
  <c r="B26" i="1"/>
  <c r="G30" i="1"/>
  <c r="I29" i="1" l="1"/>
  <c r="I17" i="1"/>
  <c r="I28" i="1"/>
  <c r="I8" i="1"/>
  <c r="H29" i="1" l="1"/>
  <c r="H17" i="1"/>
  <c r="H28" i="1"/>
  <c r="H8" i="1"/>
  <c r="G12" i="1" l="1"/>
  <c r="G14" i="1"/>
  <c r="F12" i="1"/>
  <c r="F14" i="1"/>
  <c r="E12" i="1"/>
  <c r="E14" i="1"/>
  <c r="G39" i="1" l="1"/>
  <c r="F38" i="1" l="1"/>
  <c r="E38" i="1" l="1"/>
  <c r="G29" i="1" l="1"/>
  <c r="G17" i="1"/>
  <c r="G28" i="1"/>
  <c r="G8" i="1"/>
  <c r="F29" i="1" l="1"/>
  <c r="F17" i="1"/>
  <c r="F28" i="1"/>
  <c r="F8" i="1"/>
  <c r="E39" i="1" l="1"/>
  <c r="E29" i="1" l="1"/>
  <c r="E17" i="1"/>
  <c r="E28" i="1"/>
  <c r="E8" i="1"/>
  <c r="E35" i="1" l="1"/>
  <c r="F35" i="1"/>
  <c r="G35" i="1"/>
  <c r="E30" i="1"/>
  <c r="F30" i="1"/>
  <c r="D12" i="1" l="1"/>
  <c r="D14" i="1"/>
  <c r="C12" i="1"/>
  <c r="C14" i="1"/>
  <c r="B12" i="1"/>
  <c r="B14" i="1"/>
  <c r="D39" i="1" l="1"/>
  <c r="D38" i="1" l="1"/>
  <c r="C39" i="1" l="1"/>
  <c r="D29" i="1" l="1"/>
  <c r="D17" i="1"/>
  <c r="D28" i="1"/>
  <c r="D8" i="1"/>
  <c r="C35" i="1"/>
  <c r="D35" i="1"/>
  <c r="B35" i="1"/>
  <c r="C29" i="1" l="1"/>
  <c r="C17" i="1"/>
  <c r="C28" i="1"/>
  <c r="C8" i="1"/>
  <c r="B29" i="1" l="1"/>
  <c r="B17" i="1"/>
  <c r="B28" i="1"/>
  <c r="B8" i="1"/>
  <c r="C30" i="1" l="1"/>
  <c r="D30" i="1"/>
  <c r="B30" i="1"/>
  <c r="N12" i="1" l="1"/>
  <c r="N13" i="1"/>
  <c r="N14" i="1"/>
  <c r="N15" i="1"/>
  <c r="N11" i="1"/>
  <c r="N9" i="1"/>
  <c r="N18" i="1" l="1"/>
  <c r="N6" i="1" l="1"/>
  <c r="N5" i="1"/>
  <c r="N17" i="1" l="1"/>
  <c r="N8" i="1"/>
  <c r="N26" i="1"/>
  <c r="N27" i="1"/>
  <c r="N30" i="1"/>
  <c r="N31" i="1"/>
  <c r="N32" i="1"/>
  <c r="N33" i="1"/>
  <c r="N34" i="1"/>
  <c r="N35" i="1"/>
  <c r="N36" i="1"/>
  <c r="N37" i="1"/>
  <c r="N38" i="1"/>
  <c r="N19" i="1"/>
  <c r="N20" i="1"/>
  <c r="N21" i="1"/>
  <c r="N22" i="1"/>
  <c r="N23" i="1"/>
  <c r="N24" i="1"/>
  <c r="K16" i="1"/>
  <c r="L16" i="1"/>
  <c r="M16" i="1"/>
  <c r="N10" i="1"/>
  <c r="K7" i="1"/>
  <c r="L7" i="1"/>
  <c r="M7" i="1"/>
  <c r="L40" i="1" l="1"/>
  <c r="L41" i="1" s="1"/>
  <c r="M40" i="1"/>
  <c r="M41" i="1" s="1"/>
  <c r="K40" i="1"/>
  <c r="K41" i="1" s="1"/>
  <c r="N39" i="1"/>
  <c r="H16" i="1" l="1"/>
  <c r="I16" i="1"/>
  <c r="J16" i="1"/>
  <c r="H7" i="1"/>
  <c r="I7" i="1"/>
  <c r="J7" i="1"/>
  <c r="F16" i="1"/>
  <c r="N29" i="1"/>
  <c r="B7" i="1"/>
  <c r="D16" i="1"/>
  <c r="D40" i="1" s="1"/>
  <c r="D41" i="1" s="1"/>
  <c r="D7" i="1"/>
  <c r="C16" i="1"/>
  <c r="C7" i="1"/>
  <c r="B16" i="1"/>
  <c r="C40" i="1" l="1"/>
  <c r="C41" i="1" s="1"/>
  <c r="H40" i="1"/>
  <c r="N28" i="1"/>
  <c r="G16" i="1"/>
  <c r="G7" i="1"/>
  <c r="E16" i="1"/>
  <c r="F7" i="1"/>
  <c r="J40" i="1"/>
  <c r="I40" i="1"/>
  <c r="I41" i="1" s="1"/>
  <c r="E7" i="1"/>
  <c r="B43" i="1"/>
  <c r="C6" i="1" s="1"/>
  <c r="C43" i="1" s="1"/>
  <c r="D6" i="1" s="1"/>
  <c r="D43" i="1" s="1"/>
  <c r="G40" i="1" l="1"/>
  <c r="G41" i="1" s="1"/>
  <c r="E40" i="1"/>
  <c r="E41" i="1" s="1"/>
  <c r="N7" i="1"/>
  <c r="N16" i="1"/>
  <c r="H41" i="1"/>
  <c r="E6" i="1"/>
  <c r="E43" i="1" s="1"/>
  <c r="F6" i="1" s="1"/>
  <c r="B40" i="1"/>
  <c r="B41" i="1" s="1"/>
  <c r="B42" i="1" s="1"/>
  <c r="C5" i="1" s="1"/>
  <c r="C42" i="1" s="1"/>
  <c r="J41" i="1"/>
  <c r="F40" i="1"/>
  <c r="F41" i="1" s="1"/>
  <c r="N40" i="1" l="1"/>
  <c r="N41" i="1" s="1"/>
  <c r="N42" i="1" s="1"/>
  <c r="F43" i="1"/>
  <c r="G6" i="1" s="1"/>
  <c r="N43" i="1"/>
  <c r="G43" i="1" l="1"/>
  <c r="H6" i="1" s="1"/>
  <c r="D5" i="1"/>
  <c r="D42" i="1" l="1"/>
  <c r="E5" i="1" s="1"/>
  <c r="E42" i="1" s="1"/>
  <c r="F5" i="1" s="1"/>
  <c r="F42" i="1" s="1"/>
  <c r="H43" i="1"/>
  <c r="I6" i="1" s="1"/>
  <c r="I43" i="1" l="1"/>
  <c r="J6" i="1" s="1"/>
  <c r="G5" i="1"/>
  <c r="G42" i="1" s="1"/>
  <c r="J43" i="1" l="1"/>
  <c r="K6" i="1" s="1"/>
  <c r="H5" i="1"/>
  <c r="H42" i="1" s="1"/>
  <c r="K43" i="1" l="1"/>
  <c r="L6" i="1" s="1"/>
  <c r="I5" i="1"/>
  <c r="I42" i="1" s="1"/>
  <c r="L43" i="1" l="1"/>
  <c r="M6" i="1" s="1"/>
  <c r="M43" i="1" s="1"/>
  <c r="J5" i="1"/>
  <c r="J42" i="1" s="1"/>
  <c r="K5" i="1" l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<sst xmlns="http://schemas.openxmlformats.org/spreadsheetml/2006/main" count="54" uniqueCount="44">
  <si>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</si>
  <si>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</si>
  <si>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</si>
  <si>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</si>
  <si>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</si>
  <si>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</si>
  <si>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</si>
  <si>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</si>
  <si>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</si>
  <si>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</si>
  <si>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</si>
  <si>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</si>
  <si>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</si>
  <si>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</si>
  <si>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</si>
  <si>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</si>
  <si>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</si>
  <si>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</si>
  <si>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</si>
  <si>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</si>
  <si>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</si>
  <si>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</si>
  <si>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</si>
  <si>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</si>
  <si>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</si>
  <si>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</si>
  <si>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Вознаграждение, координация с советом МКД</t>
  </si>
  <si>
    <t>Отведение сточных вод ОИ</t>
  </si>
  <si>
    <t>Тех.обслуживание общедомовых приборов учета</t>
  </si>
  <si>
    <t xml:space="preserve">Содержание жилья и текущий ремонт,  ОПУ 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</si>
  <si>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</si>
  <si>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</si>
  <si>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</si>
  <si>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</si>
  <si>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</si>
  <si>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</si>
  <si>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</t>
  </si>
  <si>
    <t>Август 2022г</t>
  </si>
  <si>
    <t>Сентябрь 2022г</t>
  </si>
  <si>
    <t>Октябрь 2022г</t>
  </si>
  <si>
    <t>Ноябрь 2022г</t>
  </si>
  <si>
    <t>Декабрь 2022г</t>
  </si>
  <si>
    <t>Всего:                       за  2022г.</t>
  </si>
  <si>
    <t xml:space="preserve">                 ОТЧЕТ по дому Матросова, 61 за период 01.01.2022г. по 31.12.2022г.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</si>
</sst>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D30" zoomScale="75" workbookViewId="0">
      <selection activeCell="M40" sqref="M40"/>
    </sheetView>
  </sheetViews>
  <sheetFormatPr defaultRowHeight="13.2" x14ac:dyDescent="0.25"/>
  <cols>
    <col min="1" max="1" width="58.5546875" customWidth="1"/>
    <col min="2" max="2" width="14.109375" customWidth="1"/>
    <col min="3" max="3" width="14.33203125" customWidth="1"/>
    <col min="4" max="5" width="14.109375" customWidth="1"/>
    <col min="6" max="6" width="14.33203125" customWidth="1"/>
    <col min="7" max="7" width="13.88671875" customWidth="1"/>
    <col min="8" max="9" width="14.5546875" customWidth="1"/>
    <col min="10" max="13" width="14" customWidth="1"/>
    <col min="14" max="14" width="16.3320312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-421582.1</v>
      </c>
      <c r="C5" s="8">
        <f t="shared" ref="C5:D6" si="0">B42</f>
        <v>-437163.98921999999</v>
      </c>
      <c r="D5" s="8">
        <f t="shared" si="0"/>
        <v>-442745.87780999998</v>
      </c>
      <c r="E5" s="8">
        <f t="shared" ref="E5:G6" si="1">D42</f>
        <v>-437680.16068999999</v>
      </c>
      <c r="F5" s="8">
        <f t="shared" si="1"/>
        <v>-427064.09479</v>
      </c>
      <c r="G5" s="8">
        <f t="shared" si="1"/>
        <v>-359738.30183000001</v>
      </c>
      <c r="H5" s="8">
        <f t="shared" ref="H5:H6" si="2">G42</f>
        <v>-345769.65016000002</v>
      </c>
      <c r="I5" s="8">
        <f t="shared" ref="I5:I6" si="3">H42</f>
        <v>-340917.04995000002</v>
      </c>
      <c r="J5" s="8">
        <f t="shared" ref="J5:J6" si="4">I42</f>
        <v>-333604.54306</v>
      </c>
      <c r="K5" s="8">
        <f t="shared" ref="K5:K6" si="5">J42</f>
        <v>-329599.55035999999</v>
      </c>
      <c r="L5" s="8">
        <f t="shared" ref="L5:L6" si="6">K42</f>
        <v>-330099.56805999996</v>
      </c>
      <c r="M5" s="8">
        <f t="shared" ref="M5:M6" si="7">L42</f>
        <v>-333015.33084999997</v>
      </c>
      <c r="N5" s="8">
        <f>B5</f>
        <v>-421582.1</v>
      </c>
    </row>
    <row r="6" spans="1:18" ht="21" customHeight="1" thickBot="1" x14ac:dyDescent="0.3">
      <c r="A6" s="7" t="s">
        <v>13</v>
      </c>
      <c r="B6" s="8">
        <v>-230262.74</v>
      </c>
      <c r="C6" s="8">
        <f t="shared" si="0"/>
        <v>-248308</v>
      </c>
      <c r="D6" s="8">
        <f t="shared" si="0"/>
        <v>-269406.25</v>
      </c>
      <c r="E6" s="8">
        <f t="shared" si="1"/>
        <v>-263600.3</v>
      </c>
      <c r="F6" s="8">
        <f t="shared" si="1"/>
        <v>-262176.7</v>
      </c>
      <c r="G6" s="8">
        <f t="shared" si="1"/>
        <v>-202140.91000000003</v>
      </c>
      <c r="H6" s="8">
        <f t="shared" si="2"/>
        <v>-200020.17000000004</v>
      </c>
      <c r="I6" s="8">
        <f t="shared" si="3"/>
        <v>-209085.16000000006</v>
      </c>
      <c r="J6" s="8">
        <f t="shared" si="4"/>
        <v>-209906.90000000005</v>
      </c>
      <c r="K6" s="8">
        <f t="shared" si="5"/>
        <v>-216893.47000000006</v>
      </c>
      <c r="L6" s="8">
        <f t="shared" si="6"/>
        <v>-226958.44000000006</v>
      </c>
      <c r="M6" s="8">
        <f t="shared" si="7"/>
        <v>-235971.76000000007</v>
      </c>
      <c r="N6" s="8">
        <f>B6</f>
        <v>-230262.74</v>
      </c>
    </row>
    <row r="7" spans="1:18" ht="20.25" customHeight="1" thickBot="1" x14ac:dyDescent="0.3">
      <c r="A7" s="9" t="s">
        <v>12</v>
      </c>
      <c r="B7" s="10">
        <f t="shared" ref="B7:M7" si="8">SUM(B8:B15)</f>
        <v>45898.320000000007</v>
      </c>
      <c r="C7" s="10">
        <f t="shared" si="8"/>
        <v>46945.430000000008</v>
      </c>
      <c r="D7" s="10">
        <f t="shared" si="8"/>
        <v>46578.130000000005</v>
      </c>
      <c r="E7" s="10">
        <f t="shared" si="8"/>
        <v>45921.470000000008</v>
      </c>
      <c r="F7" s="10">
        <f t="shared" si="8"/>
        <v>46531.770000000011</v>
      </c>
      <c r="G7" s="10">
        <f t="shared" si="8"/>
        <v>47255.170000000006</v>
      </c>
      <c r="H7" s="10">
        <f t="shared" si="8"/>
        <v>48201.160000000011</v>
      </c>
      <c r="I7" s="10">
        <f t="shared" si="8"/>
        <v>44920.480000000003</v>
      </c>
      <c r="J7" s="10">
        <f t="shared" si="8"/>
        <v>45622.48</v>
      </c>
      <c r="K7" s="10">
        <f t="shared" si="8"/>
        <v>47173.180000000008</v>
      </c>
      <c r="L7" s="10">
        <f t="shared" si="8"/>
        <v>44344.510000000009</v>
      </c>
      <c r="M7" s="10">
        <f t="shared" si="8"/>
        <v>48035.450000000004</v>
      </c>
      <c r="N7" s="10">
        <f>SUM(B7:M7)</f>
        <v>557427.55000000005</v>
      </c>
    </row>
    <row r="8" spans="1:18" ht="24.75" customHeight="1" thickBot="1" x14ac:dyDescent="0.3">
      <c r="A8" s="4" t="s">
        <v>29</v>
      </c>
      <c r="B8" s="11">
        <f t="shared" ref="B8:G8" si="9">26502.91+438.22+1943.92</f>
        <v>28885.050000000003</v>
      </c>
      <c r="C8" s="11">
        <f t="shared" si="9"/>
        <v>28885.050000000003</v>
      </c>
      <c r="D8" s="11">
        <f t="shared" si="9"/>
        <v>28885.050000000003</v>
      </c>
      <c r="E8" s="11">
        <f t="shared" si="9"/>
        <v>28885.050000000003</v>
      </c>
      <c r="F8" s="11">
        <f t="shared" si="9"/>
        <v>28885.050000000003</v>
      </c>
      <c r="G8" s="11">
        <f t="shared" si="9"/>
        <v>28885.050000000003</v>
      </c>
      <c r="H8" s="11">
        <f>26502.91+438.22+1943.92</f>
        <v>28885.050000000003</v>
      </c>
      <c r="I8" s="11">
        <f>26502.91-1223.43+50143.69-47438</f>
        <v>27985.17</v>
      </c>
      <c r="J8" s="11">
        <f>26502.91+1482.26</f>
        <v>27985.17</v>
      </c>
      <c r="K8" s="11">
        <f>27636.22+1482.26</f>
        <v>29118.48</v>
      </c>
      <c r="L8" s="11">
        <f>27636.22+1482.26</f>
        <v>29118.48</v>
      </c>
      <c r="M8" s="11">
        <f>27636.22+1482.26</f>
        <v>29118.48</v>
      </c>
      <c r="N8" s="11">
        <f>SUM(B8:M8)</f>
        <v>345521.12999999989</v>
      </c>
    </row>
    <row r="9" spans="1:18" ht="24.75" customHeight="1" thickBot="1" x14ac:dyDescent="0.3">
      <c r="A9" s="4" t="s">
        <v>17</v>
      </c>
      <c r="B9" s="11">
        <v>16117.51</v>
      </c>
      <c r="C9" s="11">
        <v>16117.51</v>
      </c>
      <c r="D9" s="11">
        <v>16117.51</v>
      </c>
      <c r="E9" s="11">
        <v>16117.51</v>
      </c>
      <c r="F9" s="11">
        <v>16117.51</v>
      </c>
      <c r="G9" s="11">
        <v>16117.51</v>
      </c>
      <c r="H9" s="11">
        <v>16117.51</v>
      </c>
      <c r="I9" s="11">
        <v>16117.51</v>
      </c>
      <c r="J9" s="11">
        <v>16117.51</v>
      </c>
      <c r="K9" s="11">
        <v>16806.68</v>
      </c>
      <c r="L9" s="11">
        <v>16806.68</v>
      </c>
      <c r="M9" s="11">
        <v>16806.68</v>
      </c>
      <c r="N9" s="11">
        <f>SUM(B9:M9)</f>
        <v>195477.62999999998</v>
      </c>
    </row>
    <row r="10" spans="1:18" ht="24.75" customHeight="1" thickBot="1" x14ac:dyDescent="0.3">
      <c r="A10" s="4" t="s">
        <v>18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ref="N10" si="10">SUM(B10:M10)</f>
        <v>0</v>
      </c>
    </row>
    <row r="11" spans="1:18" ht="24.75" customHeight="1" thickBot="1" x14ac:dyDescent="0.3">
      <c r="A11" s="4" t="s">
        <v>19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f>SUM(B11:M11)</f>
        <v>0</v>
      </c>
    </row>
    <row r="12" spans="1:18" ht="24.75" customHeight="1" thickBot="1" x14ac:dyDescent="0.3">
      <c r="A12" s="4" t="s">
        <v>20</v>
      </c>
      <c r="B12" s="11">
        <f>50.39+27.57</f>
        <v>77.960000000000008</v>
      </c>
      <c r="C12" s="11">
        <f>702.38+422.69</f>
        <v>1125.07</v>
      </c>
      <c r="D12" s="11">
        <f>472.91+284.86</f>
        <v>757.77</v>
      </c>
      <c r="E12" s="11">
        <f>64.35+36.76</f>
        <v>101.10999999999999</v>
      </c>
      <c r="F12" s="11">
        <f>444.93+266.48</f>
        <v>711.41000000000008</v>
      </c>
      <c r="G12" s="11">
        <f>892.66+542.15</f>
        <v>1434.81</v>
      </c>
      <c r="H12" s="11">
        <f>1480.28+900.52</f>
        <v>2380.8000000000002</v>
      </c>
      <c r="I12" s="11">
        <v>0</v>
      </c>
      <c r="J12" s="11">
        <f>436.53+265.47</f>
        <v>702</v>
      </c>
      <c r="K12" s="11">
        <f>264.82+165.4</f>
        <v>430.22</v>
      </c>
      <c r="L12" s="11">
        <v>-2398.4499999999998</v>
      </c>
      <c r="M12" s="11">
        <f>762.47+459.45</f>
        <v>1221.92</v>
      </c>
      <c r="N12" s="11">
        <f t="shared" ref="N12:N15" si="11">SUM(B12:M12)</f>
        <v>6544.62</v>
      </c>
    </row>
    <row r="13" spans="1:18" ht="24.75" hidden="1" customHeight="1" thickBot="1" x14ac:dyDescent="0.3">
      <c r="A13" s="4" t="s">
        <v>26</v>
      </c>
      <c r="B13" s="11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>
        <f t="shared" si="11"/>
        <v>0</v>
      </c>
    </row>
    <row r="14" spans="1:18" ht="24.75" customHeight="1" thickBot="1" x14ac:dyDescent="0.3">
      <c r="A14" s="4" t="s">
        <v>27</v>
      </c>
      <c r="B14" s="11">
        <f t="shared" ref="B14:G14" si="12">135.1+82.7</f>
        <v>217.8</v>
      </c>
      <c r="C14" s="11">
        <f t="shared" si="12"/>
        <v>217.8</v>
      </c>
      <c r="D14" s="11">
        <f t="shared" si="12"/>
        <v>217.8</v>
      </c>
      <c r="E14" s="11">
        <f t="shared" si="12"/>
        <v>217.8</v>
      </c>
      <c r="F14" s="11">
        <f t="shared" si="12"/>
        <v>217.8</v>
      </c>
      <c r="G14" s="11">
        <f t="shared" si="12"/>
        <v>217.8</v>
      </c>
      <c r="H14" s="11">
        <f>135.1+82.7</f>
        <v>217.8</v>
      </c>
      <c r="I14" s="11">
        <f>135.1+82.7</f>
        <v>217.8</v>
      </c>
      <c r="J14" s="11">
        <f>135.1+82.7</f>
        <v>217.8</v>
      </c>
      <c r="K14" s="11">
        <f>135.1+82.7</f>
        <v>217.8</v>
      </c>
      <c r="L14" s="11">
        <f>135.1+82.7</f>
        <v>217.8</v>
      </c>
      <c r="M14" s="11">
        <f>178.1+110.27</f>
        <v>288.37</v>
      </c>
      <c r="N14" s="11">
        <f t="shared" si="11"/>
        <v>2684.17</v>
      </c>
    </row>
    <row r="15" spans="1:18" ht="24.75" customHeight="1" thickBot="1" x14ac:dyDescent="0.3">
      <c r="A15" s="4" t="s">
        <v>15</v>
      </c>
      <c r="B15" s="11">
        <v>600</v>
      </c>
      <c r="C15" s="11">
        <v>600</v>
      </c>
      <c r="D15" s="11">
        <v>600</v>
      </c>
      <c r="E15" s="11">
        <v>600</v>
      </c>
      <c r="F15" s="11">
        <v>600</v>
      </c>
      <c r="G15" s="11">
        <v>600</v>
      </c>
      <c r="H15" s="11">
        <v>600</v>
      </c>
      <c r="I15" s="11">
        <v>600</v>
      </c>
      <c r="J15" s="11">
        <v>600</v>
      </c>
      <c r="K15" s="11">
        <v>600</v>
      </c>
      <c r="L15" s="11">
        <v>600</v>
      </c>
      <c r="M15" s="11">
        <v>600</v>
      </c>
      <c r="N15" s="11">
        <f t="shared" si="11"/>
        <v>7200</v>
      </c>
    </row>
    <row r="16" spans="1:18" ht="20.25" customHeight="1" thickBot="1" x14ac:dyDescent="0.3">
      <c r="A16" s="12" t="s">
        <v>8</v>
      </c>
      <c r="B16" s="13">
        <f t="shared" ref="B16:M16" si="13">SUM(B17:B24)</f>
        <v>27853.06</v>
      </c>
      <c r="C16" s="13">
        <f t="shared" si="13"/>
        <v>25847.179999999993</v>
      </c>
      <c r="D16" s="13">
        <f t="shared" si="13"/>
        <v>52384.08</v>
      </c>
      <c r="E16" s="13">
        <f t="shared" si="13"/>
        <v>47345.07</v>
      </c>
      <c r="F16" s="13">
        <f t="shared" si="13"/>
        <v>106567.55999999998</v>
      </c>
      <c r="G16" s="13">
        <f t="shared" si="13"/>
        <v>49375.91</v>
      </c>
      <c r="H16" s="13">
        <f t="shared" si="13"/>
        <v>39136.17</v>
      </c>
      <c r="I16" s="13">
        <f t="shared" si="13"/>
        <v>44098.740000000005</v>
      </c>
      <c r="J16" s="13">
        <f t="shared" si="13"/>
        <v>38635.910000000003</v>
      </c>
      <c r="K16" s="13">
        <f t="shared" si="13"/>
        <v>37108.210000000006</v>
      </c>
      <c r="L16" s="13">
        <f t="shared" si="13"/>
        <v>35331.19</v>
      </c>
      <c r="M16" s="13">
        <f t="shared" si="13"/>
        <v>25378.239999999998</v>
      </c>
      <c r="N16" s="13">
        <f>SUM(B16:M16)</f>
        <v>529061.31999999995</v>
      </c>
    </row>
    <row r="17" spans="1:15" ht="24" customHeight="1" thickBot="1" x14ac:dyDescent="0.3">
      <c r="A17" s="4" t="s">
        <v>29</v>
      </c>
      <c r="B17" s="11">
        <f>25285.79+387.66+1105.32+36.74</f>
        <v>26815.510000000002</v>
      </c>
      <c r="C17" s="11">
        <f>23744.23+367.12+1048.53</f>
        <v>25159.879999999997</v>
      </c>
      <c r="D17" s="11">
        <f>23015.21+341.97+976.57</f>
        <v>24333.75</v>
      </c>
      <c r="E17" s="11">
        <f>30324.98+473.29+1339.52+115.31</f>
        <v>32253.100000000002</v>
      </c>
      <c r="F17" s="11">
        <f>83103.48+941.88+46.31+2578.68+2655.02</f>
        <v>89325.37</v>
      </c>
      <c r="G17" s="11">
        <f>31571.45+638.2+181.85+1656.42+275.41</f>
        <v>34323.33</v>
      </c>
      <c r="H17" s="11">
        <f>23044.14+338.48+0.07+971.76</f>
        <v>24354.449999999997</v>
      </c>
      <c r="I17" s="11">
        <f>26638.52+179.49+721.98+636.81+138.46</f>
        <v>28315.260000000002</v>
      </c>
      <c r="J17" s="11">
        <f>22612.8+1249.53</f>
        <v>23862.329999999998</v>
      </c>
      <c r="K17" s="11">
        <f>22109.26+817.49</f>
        <v>22926.75</v>
      </c>
      <c r="L17" s="11">
        <f>20400.51+680.65</f>
        <v>21081.16</v>
      </c>
      <c r="M17" s="11">
        <f>23986.26+848.64</f>
        <v>24834.899999999998</v>
      </c>
      <c r="N17" s="11">
        <f>SUM(B17:M17)</f>
        <v>377585.79000000004</v>
      </c>
    </row>
    <row r="18" spans="1:15" ht="26.25" customHeight="1" thickBot="1" x14ac:dyDescent="0.3">
      <c r="A18" s="4" t="s">
        <v>17</v>
      </c>
      <c r="B18" s="11">
        <v>0</v>
      </c>
      <c r="C18" s="11">
        <v>0</v>
      </c>
      <c r="D18" s="11">
        <v>26877.83</v>
      </c>
      <c r="E18" s="11">
        <v>13737.55</v>
      </c>
      <c r="F18" s="11">
        <v>13599.72</v>
      </c>
      <c r="G18" s="11">
        <v>13351.62</v>
      </c>
      <c r="H18" s="11">
        <v>13581.34</v>
      </c>
      <c r="I18" s="11">
        <v>13857.01</v>
      </c>
      <c r="J18" s="11">
        <v>14215.38</v>
      </c>
      <c r="K18" s="11">
        <v>13314.86</v>
      </c>
      <c r="L18" s="11">
        <v>13580.33</v>
      </c>
      <c r="M18" s="11">
        <v>0</v>
      </c>
      <c r="N18" s="11">
        <f>SUM(B18:M18)</f>
        <v>136115.63999999998</v>
      </c>
    </row>
    <row r="19" spans="1:15" ht="26.25" customHeight="1" thickBot="1" x14ac:dyDescent="0.3">
      <c r="A19" s="4" t="s">
        <v>18</v>
      </c>
      <c r="B19" s="11">
        <v>98.41</v>
      </c>
      <c r="C19" s="11">
        <v>46.12</v>
      </c>
      <c r="D19" s="11">
        <v>44.85</v>
      </c>
      <c r="E19" s="11">
        <v>182.21</v>
      </c>
      <c r="F19" s="11">
        <v>988.54</v>
      </c>
      <c r="G19" s="11">
        <v>276.08</v>
      </c>
      <c r="H19" s="11">
        <v>0</v>
      </c>
      <c r="I19" s="11">
        <v>9.01</v>
      </c>
      <c r="J19" s="11">
        <v>0.49</v>
      </c>
      <c r="K19" s="11">
        <v>1.19</v>
      </c>
      <c r="L19" s="11">
        <v>2.71</v>
      </c>
      <c r="M19" s="11">
        <v>6.96</v>
      </c>
      <c r="N19" s="11">
        <f t="shared" ref="N19:N24" si="14">SUM(B19:M19)</f>
        <v>1656.5700000000002</v>
      </c>
    </row>
    <row r="20" spans="1:15" ht="26.25" customHeight="1" thickBot="1" x14ac:dyDescent="0.3">
      <c r="A20" s="4" t="s">
        <v>19</v>
      </c>
      <c r="B20" s="11">
        <v>5.72</v>
      </c>
      <c r="C20" s="11">
        <v>8.1199999999999992</v>
      </c>
      <c r="D20" s="11">
        <v>7.9</v>
      </c>
      <c r="E20" s="11">
        <v>12.68</v>
      </c>
      <c r="F20" s="11">
        <v>196.03</v>
      </c>
      <c r="G20" s="11">
        <v>102.47</v>
      </c>
      <c r="H20" s="11">
        <v>0</v>
      </c>
      <c r="I20" s="11">
        <v>1.4</v>
      </c>
      <c r="J20" s="11">
        <v>0.08</v>
      </c>
      <c r="K20" s="11">
        <v>0</v>
      </c>
      <c r="L20" s="11">
        <v>0.01</v>
      </c>
      <c r="M20" s="11">
        <v>0.03</v>
      </c>
      <c r="N20" s="11">
        <f t="shared" si="14"/>
        <v>334.43999999999988</v>
      </c>
    </row>
    <row r="21" spans="1:15" ht="26.25" customHeight="1" thickBot="1" x14ac:dyDescent="0.3">
      <c r="A21" s="4" t="s">
        <v>20</v>
      </c>
      <c r="B21" s="11">
        <v>402.87</v>
      </c>
      <c r="C21" s="11">
        <v>114.51</v>
      </c>
      <c r="D21" s="11">
        <v>604.83000000000004</v>
      </c>
      <c r="E21" s="11">
        <v>602.97</v>
      </c>
      <c r="F21" s="11">
        <v>1602</v>
      </c>
      <c r="G21" s="11">
        <v>695.13</v>
      </c>
      <c r="H21" s="11">
        <v>682.97</v>
      </c>
      <c r="I21" s="11">
        <v>1379.49</v>
      </c>
      <c r="J21" s="11">
        <v>42.33</v>
      </c>
      <c r="K21" s="11">
        <v>352.66</v>
      </c>
      <c r="L21" s="11">
        <v>166.94</v>
      </c>
      <c r="M21" s="11">
        <v>18.489999999999998</v>
      </c>
      <c r="N21" s="11">
        <f t="shared" si="14"/>
        <v>6665.19</v>
      </c>
    </row>
    <row r="22" spans="1:15" ht="26.25" hidden="1" customHeight="1" thickBot="1" x14ac:dyDescent="0.3">
      <c r="A22" s="4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>
        <f t="shared" si="14"/>
        <v>0</v>
      </c>
    </row>
    <row r="23" spans="1:15" ht="26.25" customHeight="1" thickBot="1" x14ac:dyDescent="0.3">
      <c r="A23" s="4" t="s">
        <v>27</v>
      </c>
      <c r="B23" s="11">
        <v>130.55000000000001</v>
      </c>
      <c r="C23" s="11">
        <v>118.55</v>
      </c>
      <c r="D23" s="11">
        <v>114.92</v>
      </c>
      <c r="E23" s="11">
        <v>156.56</v>
      </c>
      <c r="F23" s="11">
        <v>455.9</v>
      </c>
      <c r="G23" s="11">
        <v>227.28</v>
      </c>
      <c r="H23" s="11">
        <v>117.41</v>
      </c>
      <c r="I23" s="11">
        <v>136.57</v>
      </c>
      <c r="J23" s="11">
        <v>115.3</v>
      </c>
      <c r="K23" s="11">
        <v>112.75</v>
      </c>
      <c r="L23" s="11">
        <v>100.04</v>
      </c>
      <c r="M23" s="11">
        <v>117.86</v>
      </c>
      <c r="N23" s="11">
        <f t="shared" si="14"/>
        <v>1903.6899999999998</v>
      </c>
    </row>
    <row r="24" spans="1:15" ht="26.25" customHeight="1" thickBot="1" x14ac:dyDescent="0.3">
      <c r="A24" s="4" t="s">
        <v>15</v>
      </c>
      <c r="B24" s="14">
        <v>400</v>
      </c>
      <c r="C24" s="14">
        <v>400</v>
      </c>
      <c r="D24" s="14">
        <v>400</v>
      </c>
      <c r="E24" s="14">
        <v>400</v>
      </c>
      <c r="F24" s="14">
        <v>400</v>
      </c>
      <c r="G24" s="14">
        <v>400</v>
      </c>
      <c r="H24" s="14">
        <v>400</v>
      </c>
      <c r="I24" s="14">
        <v>400</v>
      </c>
      <c r="J24" s="14">
        <v>400</v>
      </c>
      <c r="K24" s="14">
        <v>400</v>
      </c>
      <c r="L24" s="14">
        <v>400</v>
      </c>
      <c r="M24" s="14">
        <v>400</v>
      </c>
      <c r="N24" s="11">
        <f t="shared" si="14"/>
        <v>4800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>2429.9*0.55</f>
        <v>1336.4450000000002</v>
      </c>
      <c r="C26" s="11">
        <f t="shared" ref="C26:K26" si="15">2429.9*0.55</f>
        <v>1336.4450000000002</v>
      </c>
      <c r="D26" s="11">
        <f t="shared" si="15"/>
        <v>1336.4450000000002</v>
      </c>
      <c r="E26" s="11">
        <f t="shared" si="15"/>
        <v>1336.4450000000002</v>
      </c>
      <c r="F26" s="11">
        <f t="shared" si="15"/>
        <v>1336.4450000000002</v>
      </c>
      <c r="G26" s="11">
        <f t="shared" si="15"/>
        <v>1336.4450000000002</v>
      </c>
      <c r="H26" s="11">
        <f t="shared" si="15"/>
        <v>1336.4450000000002</v>
      </c>
      <c r="I26" s="11">
        <f t="shared" si="15"/>
        <v>1336.4450000000002</v>
      </c>
      <c r="J26" s="11">
        <f t="shared" si="15"/>
        <v>1336.4450000000002</v>
      </c>
      <c r="K26" s="11">
        <f t="shared" si="15"/>
        <v>1336.4450000000002</v>
      </c>
      <c r="L26" s="11">
        <f>2429.9*0.6</f>
        <v>1457.94</v>
      </c>
      <c r="M26" s="11">
        <f>2429.9*0.6</f>
        <v>1457.94</v>
      </c>
      <c r="N26" s="11">
        <f t="shared" ref="N26:N39" si="16">SUM(B26:M26)</f>
        <v>16280.33</v>
      </c>
    </row>
    <row r="27" spans="1:15" ht="22.5" customHeight="1" thickBot="1" x14ac:dyDescent="0.3">
      <c r="A27" s="4" t="s">
        <v>2</v>
      </c>
      <c r="B27" s="20">
        <f>2429.9*0.17</f>
        <v>413.08300000000003</v>
      </c>
      <c r="C27" s="20">
        <f t="shared" ref="C27:M27" si="17">2429.9*0.17</f>
        <v>413.08300000000003</v>
      </c>
      <c r="D27" s="20">
        <f t="shared" si="17"/>
        <v>413.08300000000003</v>
      </c>
      <c r="E27" s="20">
        <f t="shared" si="17"/>
        <v>413.08300000000003</v>
      </c>
      <c r="F27" s="20">
        <f t="shared" si="17"/>
        <v>413.08300000000003</v>
      </c>
      <c r="G27" s="20">
        <f t="shared" si="17"/>
        <v>413.08300000000003</v>
      </c>
      <c r="H27" s="20">
        <f t="shared" si="17"/>
        <v>413.08300000000003</v>
      </c>
      <c r="I27" s="20">
        <f t="shared" si="17"/>
        <v>413.08300000000003</v>
      </c>
      <c r="J27" s="20">
        <f t="shared" si="17"/>
        <v>413.08300000000003</v>
      </c>
      <c r="K27" s="20">
        <f t="shared" si="17"/>
        <v>413.08300000000003</v>
      </c>
      <c r="L27" s="20">
        <f t="shared" si="17"/>
        <v>413.08300000000003</v>
      </c>
      <c r="M27" s="20">
        <f t="shared" si="17"/>
        <v>413.08300000000003</v>
      </c>
      <c r="N27" s="11">
        <f t="shared" si="16"/>
        <v>4956.9959999999992</v>
      </c>
    </row>
    <row r="28" spans="1:15" ht="21" customHeight="1" thickBot="1" x14ac:dyDescent="0.3">
      <c r="A28" s="4" t="s">
        <v>3</v>
      </c>
      <c r="B28" s="11">
        <f>29070.54*2.3%</f>
        <v>668.62242000000003</v>
      </c>
      <c r="C28" s="11">
        <f>29722.53*2.3%</f>
        <v>683.61818999999991</v>
      </c>
      <c r="D28" s="11">
        <f>29493.06*2.3%</f>
        <v>678.34037999999998</v>
      </c>
      <c r="E28" s="11">
        <f>29084.5*2.3%</f>
        <v>668.94349999999997</v>
      </c>
      <c r="F28" s="11">
        <f>29465.08*2.3%</f>
        <v>677.69684000000007</v>
      </c>
      <c r="G28" s="11">
        <f>29912.81*2.3%</f>
        <v>687.99463000000003</v>
      </c>
      <c r="H28" s="11">
        <f>30500.43*2.3%</f>
        <v>701.50989000000004</v>
      </c>
      <c r="I28" s="11">
        <f>28120.27*2.3%</f>
        <v>646.76621</v>
      </c>
      <c r="J28" s="11">
        <f>28556.8*2.3%</f>
        <v>656.80639999999994</v>
      </c>
      <c r="K28" s="11">
        <f>29518.4*2.3%</f>
        <v>678.92320000000007</v>
      </c>
      <c r="L28" s="11">
        <f>26855.13*2.3%</f>
        <v>617.66799000000003</v>
      </c>
      <c r="M28" s="11">
        <f>30059.05*2.3%</f>
        <v>691.35815000000002</v>
      </c>
      <c r="N28" s="11">
        <f t="shared" si="16"/>
        <v>8058.2478000000001</v>
      </c>
    </row>
    <row r="29" spans="1:15" ht="23.25" customHeight="1" thickBot="1" x14ac:dyDescent="0.3">
      <c r="A29" s="4" t="s">
        <v>4</v>
      </c>
      <c r="B29" s="11">
        <f>27453.06*3%</f>
        <v>823.59180000000003</v>
      </c>
      <c r="C29" s="11">
        <f>25447.18*3%</f>
        <v>763.41539999999998</v>
      </c>
      <c r="D29" s="11">
        <f>25106.25*3%</f>
        <v>753.1875</v>
      </c>
      <c r="E29" s="11">
        <f>33207.52*3%</f>
        <v>996.22559999999987</v>
      </c>
      <c r="F29" s="11">
        <f>92567.84*3%</f>
        <v>2777.0351999999998</v>
      </c>
      <c r="G29" s="11">
        <f>35624.29*3%</f>
        <v>1068.7286999999999</v>
      </c>
      <c r="H29" s="11">
        <f>25154.83*3%</f>
        <v>754.64490000000001</v>
      </c>
      <c r="I29" s="11">
        <f>29841.73*3%</f>
        <v>895.25189999999998</v>
      </c>
      <c r="J29" s="11">
        <f>24020.53*3%</f>
        <v>720.6158999999999</v>
      </c>
      <c r="K29" s="11">
        <f>23393.35*3%</f>
        <v>701.80049999999994</v>
      </c>
      <c r="L29" s="11">
        <f>21350.86*3%</f>
        <v>640.5258</v>
      </c>
      <c r="M29" s="11">
        <f>24978.24*3%</f>
        <v>749.34720000000004</v>
      </c>
      <c r="N29" s="11">
        <f t="shared" si="16"/>
        <v>11644.3704</v>
      </c>
    </row>
    <row r="30" spans="1:15" ht="23.25" customHeight="1" thickBot="1" x14ac:dyDescent="0.3">
      <c r="A30" s="4" t="s">
        <v>9</v>
      </c>
      <c r="B30" s="11">
        <f t="shared" ref="B30:F30" si="18">2429.9*8.5</f>
        <v>20654.150000000001</v>
      </c>
      <c r="C30" s="11">
        <f t="shared" si="18"/>
        <v>20654.150000000001</v>
      </c>
      <c r="D30" s="11">
        <f t="shared" si="18"/>
        <v>20654.150000000001</v>
      </c>
      <c r="E30" s="11">
        <f t="shared" si="18"/>
        <v>20654.150000000001</v>
      </c>
      <c r="F30" s="11">
        <f t="shared" si="18"/>
        <v>20654.150000000001</v>
      </c>
      <c r="G30" s="11">
        <f>2429.9*8.5</f>
        <v>20654.150000000001</v>
      </c>
      <c r="H30" s="11">
        <f>2429.9*9.7</f>
        <v>23570.03</v>
      </c>
      <c r="I30" s="11">
        <f t="shared" ref="I30:M30" si="19">2429.9*9.7</f>
        <v>23570.03</v>
      </c>
      <c r="J30" s="11">
        <f t="shared" si="19"/>
        <v>23570.03</v>
      </c>
      <c r="K30" s="11">
        <f t="shared" si="19"/>
        <v>23570.03</v>
      </c>
      <c r="L30" s="11">
        <f t="shared" si="19"/>
        <v>23570.03</v>
      </c>
      <c r="M30" s="11">
        <f t="shared" si="19"/>
        <v>23570.03</v>
      </c>
      <c r="N30" s="11">
        <f t="shared" si="16"/>
        <v>265345.07999999996</v>
      </c>
    </row>
    <row r="31" spans="1:15" ht="26.25" customHeight="1" thickBot="1" x14ac:dyDescent="0.3">
      <c r="A31" s="4" t="s">
        <v>21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f>0.2+0</f>
        <v>0.2</v>
      </c>
      <c r="K31" s="11">
        <f>0.4+0</f>
        <v>0.4</v>
      </c>
      <c r="L31" s="11">
        <f>0.4+0</f>
        <v>0.4</v>
      </c>
      <c r="M31" s="11">
        <v>0</v>
      </c>
      <c r="N31" s="11">
        <f t="shared" si="16"/>
        <v>1</v>
      </c>
    </row>
    <row r="32" spans="1:15" ht="26.25" customHeight="1" thickBot="1" x14ac:dyDescent="0.3">
      <c r="A32" s="4" t="s">
        <v>22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202.55</v>
      </c>
      <c r="N32" s="11">
        <f t="shared" si="16"/>
        <v>202.55</v>
      </c>
    </row>
    <row r="33" spans="1:14" ht="26.25" customHeight="1" thickBot="1" x14ac:dyDescent="0.3">
      <c r="A33" s="4" t="s">
        <v>23</v>
      </c>
      <c r="B33" s="11">
        <v>1129.5</v>
      </c>
      <c r="C33" s="11">
        <v>760.5</v>
      </c>
      <c r="D33" s="11">
        <v>103.5</v>
      </c>
      <c r="E33" s="11">
        <v>715.5</v>
      </c>
      <c r="F33" s="11">
        <v>1435.5</v>
      </c>
      <c r="G33" s="11">
        <v>2380.5</v>
      </c>
      <c r="H33" s="11">
        <v>0</v>
      </c>
      <c r="I33" s="11">
        <v>702</v>
      </c>
      <c r="J33" s="11">
        <v>425.88</v>
      </c>
      <c r="K33" s="11">
        <v>234</v>
      </c>
      <c r="L33" s="11">
        <v>1226.1600000000001</v>
      </c>
      <c r="M33" s="11">
        <v>0</v>
      </c>
      <c r="N33" s="11">
        <f t="shared" si="16"/>
        <v>9113.0400000000009</v>
      </c>
    </row>
    <row r="34" spans="1:14" ht="26.25" customHeight="1" thickBot="1" x14ac:dyDescent="0.3">
      <c r="A34" s="4" t="s">
        <v>27</v>
      </c>
      <c r="B34" s="11">
        <v>217.22</v>
      </c>
      <c r="C34" s="11">
        <v>217.22</v>
      </c>
      <c r="D34" s="11">
        <v>217.22</v>
      </c>
      <c r="E34" s="11">
        <v>217.22</v>
      </c>
      <c r="F34" s="11">
        <v>217.22</v>
      </c>
      <c r="G34" s="11">
        <v>217.22</v>
      </c>
      <c r="H34" s="11">
        <v>217.22</v>
      </c>
      <c r="I34" s="11">
        <v>217.22</v>
      </c>
      <c r="J34" s="11">
        <v>217.22</v>
      </c>
      <c r="K34" s="11">
        <v>217.22</v>
      </c>
      <c r="L34" s="11">
        <v>217.22</v>
      </c>
      <c r="M34" s="11">
        <v>286.44</v>
      </c>
      <c r="N34" s="11">
        <f t="shared" si="16"/>
        <v>2675.8599999999997</v>
      </c>
    </row>
    <row r="35" spans="1:14" ht="22.5" customHeight="1" thickBot="1" x14ac:dyDescent="0.3">
      <c r="A35" s="4" t="s">
        <v>6</v>
      </c>
      <c r="B35" s="11">
        <f>2429.9*2.63</f>
        <v>6390.6369999999997</v>
      </c>
      <c r="C35" s="11">
        <f t="shared" ref="C35:J35" si="20">2429.9*2.63</f>
        <v>6390.6369999999997</v>
      </c>
      <c r="D35" s="11">
        <f t="shared" si="20"/>
        <v>6390.6369999999997</v>
      </c>
      <c r="E35" s="11">
        <f t="shared" si="20"/>
        <v>6390.6369999999997</v>
      </c>
      <c r="F35" s="11">
        <f t="shared" si="20"/>
        <v>6390.6369999999997</v>
      </c>
      <c r="G35" s="11">
        <f t="shared" si="20"/>
        <v>6390.6369999999997</v>
      </c>
      <c r="H35" s="11">
        <f t="shared" si="20"/>
        <v>6390.6369999999997</v>
      </c>
      <c r="I35" s="11">
        <f t="shared" si="20"/>
        <v>6390.6369999999997</v>
      </c>
      <c r="J35" s="11">
        <f t="shared" si="20"/>
        <v>6390.6369999999997</v>
      </c>
      <c r="K35" s="11">
        <f>2429.9*2.74</f>
        <v>6657.9260000000004</v>
      </c>
      <c r="L35" s="11">
        <f t="shared" ref="L35:M35" si="21">2429.9*2.74</f>
        <v>6657.9260000000004</v>
      </c>
      <c r="M35" s="11">
        <f t="shared" si="21"/>
        <v>6657.9260000000004</v>
      </c>
      <c r="N35" s="11">
        <f t="shared" si="16"/>
        <v>77489.511000000013</v>
      </c>
    </row>
    <row r="36" spans="1:14" ht="21.75" hidden="1" customHeight="1" thickBot="1" x14ac:dyDescent="0.3">
      <c r="A36" s="4" t="s">
        <v>26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>
        <f t="shared" si="16"/>
        <v>0</v>
      </c>
    </row>
    <row r="37" spans="1:14" ht="24.75" customHeight="1" thickBot="1" x14ac:dyDescent="0.3">
      <c r="A37" s="4" t="s">
        <v>14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6524.5</v>
      </c>
      <c r="N37" s="11">
        <f t="shared" si="16"/>
        <v>6524.5</v>
      </c>
    </row>
    <row r="38" spans="1:14" ht="24.75" customHeight="1" thickBot="1" x14ac:dyDescent="0.3">
      <c r="A38" s="4" t="s">
        <v>28</v>
      </c>
      <c r="B38" s="11">
        <v>0</v>
      </c>
      <c r="C38" s="11">
        <v>0</v>
      </c>
      <c r="D38" s="11">
        <f>1140</f>
        <v>1140</v>
      </c>
      <c r="E38" s="11">
        <f>1140</f>
        <v>1140</v>
      </c>
      <c r="F38" s="11">
        <f>1140</f>
        <v>1140</v>
      </c>
      <c r="G38" s="11">
        <v>900</v>
      </c>
      <c r="H38" s="11">
        <v>900</v>
      </c>
      <c r="I38" s="11">
        <v>900</v>
      </c>
      <c r="J38" s="11">
        <v>900</v>
      </c>
      <c r="K38" s="11">
        <f>900</f>
        <v>900</v>
      </c>
      <c r="L38" s="11">
        <f>900</f>
        <v>900</v>
      </c>
      <c r="M38" s="11">
        <f>900</f>
        <v>900</v>
      </c>
      <c r="N38" s="11">
        <f t="shared" si="16"/>
        <v>9720</v>
      </c>
    </row>
    <row r="39" spans="1:14" ht="24" customHeight="1" thickBot="1" x14ac:dyDescent="0.3">
      <c r="A39" s="4" t="s">
        <v>10</v>
      </c>
      <c r="B39" s="11">
        <f>5601.7+6200</f>
        <v>11801.7</v>
      </c>
      <c r="C39" s="11">
        <f>210</f>
        <v>210</v>
      </c>
      <c r="D39" s="11">
        <f>500+15131.8</f>
        <v>15631.8</v>
      </c>
      <c r="E39" s="11">
        <f>1258.2+2938.6</f>
        <v>4196.8</v>
      </c>
      <c r="F39" s="11">
        <f>4200</f>
        <v>4200</v>
      </c>
      <c r="G39" s="11">
        <f>1358.5</f>
        <v>1358.5</v>
      </c>
      <c r="H39" s="11">
        <v>0</v>
      </c>
      <c r="I39" s="11">
        <f>1714.8</f>
        <v>1714.8</v>
      </c>
      <c r="J39" s="11">
        <v>0</v>
      </c>
      <c r="K39" s="11">
        <f>1579.8+1318.6</f>
        <v>2898.3999999999996</v>
      </c>
      <c r="L39" s="11">
        <f>1548.1+997.9</f>
        <v>2546</v>
      </c>
      <c r="M39" s="11">
        <v>83702</v>
      </c>
      <c r="N39" s="11">
        <f t="shared" si="16"/>
        <v>128260</v>
      </c>
    </row>
    <row r="40" spans="1:14" ht="22.5" customHeight="1" thickBot="1" x14ac:dyDescent="0.3">
      <c r="A40" s="9" t="s">
        <v>24</v>
      </c>
      <c r="B40" s="10">
        <f t="shared" ref="B40:M40" si="22">SUM(B26:B39)</f>
        <v>43434.949220000002</v>
      </c>
      <c r="C40" s="10">
        <f t="shared" si="22"/>
        <v>31429.068590000003</v>
      </c>
      <c r="D40" s="10">
        <f t="shared" si="22"/>
        <v>47318.362880000001</v>
      </c>
      <c r="E40" s="10">
        <f t="shared" si="22"/>
        <v>36729.004100000006</v>
      </c>
      <c r="F40" s="10">
        <f t="shared" si="22"/>
        <v>39241.767040000006</v>
      </c>
      <c r="G40" s="10">
        <f t="shared" si="22"/>
        <v>35407.258330000004</v>
      </c>
      <c r="H40" s="10">
        <f t="shared" si="22"/>
        <v>34283.569790000001</v>
      </c>
      <c r="I40" s="10">
        <f t="shared" si="22"/>
        <v>36786.233110000001</v>
      </c>
      <c r="J40" s="10">
        <f t="shared" si="22"/>
        <v>34630.917300000001</v>
      </c>
      <c r="K40" s="10">
        <f t="shared" si="22"/>
        <v>37608.227700000003</v>
      </c>
      <c r="L40" s="10">
        <f t="shared" si="22"/>
        <v>38246.952790000003</v>
      </c>
      <c r="M40" s="10">
        <f t="shared" si="22"/>
        <v>125155.17435</v>
      </c>
      <c r="N40" s="10">
        <f>SUM(B40:M40)</f>
        <v>540271.4852</v>
      </c>
    </row>
    <row r="41" spans="1:14" ht="23.25" customHeight="1" thickBot="1" x14ac:dyDescent="0.3">
      <c r="A41" s="4" t="s">
        <v>5</v>
      </c>
      <c r="B41" s="18">
        <f t="shared" ref="B41:N41" si="23">B16-B40</f>
        <v>-15581.889220000001</v>
      </c>
      <c r="C41" s="18">
        <f t="shared" si="23"/>
        <v>-5581.8885900000096</v>
      </c>
      <c r="D41" s="18">
        <f t="shared" si="23"/>
        <v>5065.7171200000012</v>
      </c>
      <c r="E41" s="18">
        <f t="shared" si="23"/>
        <v>10616.065899999994</v>
      </c>
      <c r="F41" s="18">
        <f t="shared" si="23"/>
        <v>67325.792959999977</v>
      </c>
      <c r="G41" s="18">
        <f t="shared" si="23"/>
        <v>13968.651669999999</v>
      </c>
      <c r="H41" s="18">
        <f t="shared" si="23"/>
        <v>4852.6002099999969</v>
      </c>
      <c r="I41" s="18">
        <f t="shared" si="23"/>
        <v>7312.5068900000042</v>
      </c>
      <c r="J41" s="18">
        <f t="shared" si="23"/>
        <v>4004.9927000000025</v>
      </c>
      <c r="K41" s="18">
        <f t="shared" si="23"/>
        <v>-500.01769999999669</v>
      </c>
      <c r="L41" s="18">
        <f t="shared" si="23"/>
        <v>-2915.7627900000007</v>
      </c>
      <c r="M41" s="18">
        <f t="shared" si="23"/>
        <v>-99776.934349999996</v>
      </c>
      <c r="N41" s="11">
        <f t="shared" si="23"/>
        <v>-11210.165200000047</v>
      </c>
    </row>
    <row r="42" spans="1:14" ht="23.25" customHeight="1" thickBot="1" x14ac:dyDescent="0.3">
      <c r="A42" s="4" t="s">
        <v>7</v>
      </c>
      <c r="B42" s="14">
        <f t="shared" ref="B42:N42" si="24">B5+B41</f>
        <v>-437163.98921999999</v>
      </c>
      <c r="C42" s="14">
        <f t="shared" si="24"/>
        <v>-442745.87780999998</v>
      </c>
      <c r="D42" s="14">
        <f t="shared" si="24"/>
        <v>-437680.16068999999</v>
      </c>
      <c r="E42" s="14">
        <f t="shared" si="24"/>
        <v>-427064.09479</v>
      </c>
      <c r="F42" s="14">
        <f t="shared" si="24"/>
        <v>-359738.30183000001</v>
      </c>
      <c r="G42" s="14">
        <f t="shared" si="24"/>
        <v>-345769.65016000002</v>
      </c>
      <c r="H42" s="14">
        <f t="shared" si="24"/>
        <v>-340917.04995000002</v>
      </c>
      <c r="I42" s="14">
        <f t="shared" si="24"/>
        <v>-333604.54306</v>
      </c>
      <c r="J42" s="14">
        <f t="shared" si="24"/>
        <v>-329599.55035999999</v>
      </c>
      <c r="K42" s="14">
        <f t="shared" si="24"/>
        <v>-330099.56805999996</v>
      </c>
      <c r="L42" s="14">
        <f t="shared" si="24"/>
        <v>-333015.33084999997</v>
      </c>
      <c r="M42" s="14">
        <f t="shared" si="24"/>
        <v>-432792.26519999997</v>
      </c>
      <c r="N42" s="14">
        <f t="shared" si="24"/>
        <v>-432792.26520000002</v>
      </c>
    </row>
    <row r="43" spans="1:14" ht="27" customHeight="1" thickBot="1" x14ac:dyDescent="0.3">
      <c r="A43" s="15" t="s">
        <v>11</v>
      </c>
      <c r="B43" s="19">
        <f t="shared" ref="B43:M43" si="25">B6+B16-B7</f>
        <v>-248308</v>
      </c>
      <c r="C43" s="19">
        <f t="shared" si="25"/>
        <v>-269406.25</v>
      </c>
      <c r="D43" s="19">
        <f t="shared" si="25"/>
        <v>-263600.3</v>
      </c>
      <c r="E43" s="19">
        <f t="shared" si="25"/>
        <v>-262176.7</v>
      </c>
      <c r="F43" s="19">
        <f t="shared" si="25"/>
        <v>-202140.91000000003</v>
      </c>
      <c r="G43" s="19">
        <f t="shared" si="25"/>
        <v>-200020.17000000004</v>
      </c>
      <c r="H43" s="19">
        <f t="shared" si="25"/>
        <v>-209085.16000000006</v>
      </c>
      <c r="I43" s="19">
        <f t="shared" si="25"/>
        <v>-209906.90000000005</v>
      </c>
      <c r="J43" s="19">
        <f t="shared" si="25"/>
        <v>-216893.47000000006</v>
      </c>
      <c r="K43" s="19">
        <f t="shared" si="25"/>
        <v>-226958.44000000006</v>
      </c>
      <c r="L43" s="19">
        <f t="shared" si="25"/>
        <v>-235971.76000000007</v>
      </c>
      <c r="M43" s="19">
        <f t="shared" si="25"/>
        <v>-258628.97000000009</v>
      </c>
      <c r="N43" s="17">
        <f t="shared" ref="N43" si="26">N6+N16-N7</f>
        <v>-258628.97000000009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2023-03-20T09:29:58Z</cp:lastPrinted>
  <dcterms:created xsi:type="dcterms:W3CDTF">2011-06-06T03:25:48Z</dcterms:created>
  <dcterms:modified xsi:type="dcterms:W3CDTF">2023-03-20T09:31:15Z</dcterms:modified>
</cp:coreProperties>
</file>