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M33" i="1" l="1"/>
  <c r="L33" i="1" l="1"/>
  <c r="K33" i="1" l="1"/>
  <c r="L34" i="1" l="1"/>
  <c r="K34" i="1" l="1"/>
  <c r="M34" i="1" l="1"/>
  <c r="M26" i="1" l="1"/>
  <c r="M16" i="1"/>
  <c r="M25" i="1"/>
  <c r="M9" i="1"/>
  <c r="L26" i="1" l="1"/>
  <c r="L16" i="1"/>
  <c r="L25" i="1"/>
  <c r="L9" i="1"/>
  <c r="K26" i="1" l="1"/>
  <c r="K16" i="1"/>
  <c r="K25" i="1"/>
  <c r="K9" i="1"/>
  <c r="K32" i="1" l="1"/>
  <c r="L32" i="1"/>
  <c r="M32" i="1"/>
  <c r="K27" i="1"/>
  <c r="L27" i="1"/>
  <c r="M27" i="1"/>
  <c r="K24" i="1"/>
  <c r="L24" i="1"/>
  <c r="M24" i="1"/>
  <c r="M23" i="1"/>
  <c r="L23" i="1"/>
  <c r="K23" i="1"/>
  <c r="J34" i="1" l="1"/>
  <c r="I34" i="1" l="1"/>
  <c r="I27" i="1" l="1"/>
  <c r="J27" i="1"/>
  <c r="H27" i="1"/>
  <c r="J26" i="1" l="1"/>
  <c r="J16" i="1"/>
  <c r="J25" i="1"/>
  <c r="J9" i="1"/>
  <c r="H32" i="1"/>
  <c r="I32" i="1"/>
  <c r="J32" i="1"/>
  <c r="H24" i="1"/>
  <c r="I24" i="1"/>
  <c r="J24" i="1"/>
  <c r="H23" i="1"/>
  <c r="I23" i="1"/>
  <c r="J23" i="1"/>
  <c r="C24" i="1"/>
  <c r="D24" i="1"/>
  <c r="E24" i="1"/>
  <c r="F24" i="1"/>
  <c r="G24" i="1"/>
  <c r="B24" i="1"/>
  <c r="C23" i="1"/>
  <c r="D23" i="1"/>
  <c r="E23" i="1"/>
  <c r="F23" i="1"/>
  <c r="G23" i="1"/>
  <c r="B23" i="1"/>
  <c r="G27" i="1"/>
  <c r="I26" i="1" l="1"/>
  <c r="I16" i="1"/>
  <c r="I25" i="1"/>
  <c r="I9" i="1"/>
  <c r="H26" i="1" l="1"/>
  <c r="H16" i="1"/>
  <c r="H25" i="1"/>
  <c r="H9" i="1"/>
  <c r="F33" i="1" l="1"/>
  <c r="E33" i="1" l="1"/>
  <c r="E34" i="1" l="1"/>
  <c r="G26" i="1" l="1"/>
  <c r="G16" i="1"/>
  <c r="G25" i="1"/>
  <c r="G9" i="1"/>
  <c r="F34" i="1" l="1"/>
  <c r="F26" i="1" l="1"/>
  <c r="F16" i="1"/>
  <c r="F25" i="1"/>
  <c r="F9" i="1"/>
  <c r="E26" i="1" l="1"/>
  <c r="E16" i="1"/>
  <c r="E25" i="1"/>
  <c r="E9" i="1"/>
  <c r="E32" i="1" l="1"/>
  <c r="F32" i="1"/>
  <c r="G32" i="1"/>
  <c r="E27" i="1"/>
  <c r="F27" i="1"/>
  <c r="D34" i="1" l="1"/>
  <c r="C34" i="1" l="1"/>
  <c r="D33" i="1" l="1"/>
  <c r="C33" i="1" l="1"/>
  <c r="B33" i="1" l="1"/>
  <c r="D26" i="1" l="1"/>
  <c r="D16" i="1"/>
  <c r="D25" i="1"/>
  <c r="D9" i="1"/>
  <c r="C32" i="1"/>
  <c r="D32" i="1"/>
  <c r="B32" i="1"/>
  <c r="C27" i="1"/>
  <c r="D27" i="1"/>
  <c r="B27" i="1"/>
  <c r="B34" i="1" l="1"/>
  <c r="C26" i="1" l="1"/>
  <c r="C16" i="1"/>
  <c r="C25" i="1"/>
  <c r="C9" i="1"/>
  <c r="B26" i="1" l="1"/>
  <c r="B16" i="1"/>
  <c r="B25" i="1"/>
  <c r="B9" i="1"/>
  <c r="N7" i="1" l="1"/>
  <c r="N6" i="1" l="1"/>
  <c r="J15" i="1"/>
  <c r="N9" i="1" l="1"/>
  <c r="L15" i="1"/>
  <c r="L8" i="1"/>
  <c r="K8" i="1"/>
  <c r="N23" i="1"/>
  <c r="N24" i="1"/>
  <c r="N27" i="1"/>
  <c r="N28" i="1"/>
  <c r="N29" i="1"/>
  <c r="N30" i="1"/>
  <c r="N31" i="1"/>
  <c r="N32" i="1"/>
  <c r="N33" i="1"/>
  <c r="N17" i="1"/>
  <c r="N18" i="1"/>
  <c r="N19" i="1"/>
  <c r="N20" i="1"/>
  <c r="N21" i="1"/>
  <c r="N16" i="1"/>
  <c r="K15" i="1"/>
  <c r="M15" i="1"/>
  <c r="N10" i="1"/>
  <c r="N11" i="1"/>
  <c r="N12" i="1"/>
  <c r="N13" i="1"/>
  <c r="N14" i="1"/>
  <c r="M35" i="1" l="1"/>
  <c r="L35" i="1"/>
  <c r="L36" i="1" s="1"/>
  <c r="M8" i="1"/>
  <c r="M36" i="1" l="1"/>
  <c r="K35" i="1"/>
  <c r="K36" i="1" l="1"/>
  <c r="H15" i="1" l="1"/>
  <c r="I15" i="1"/>
  <c r="H8" i="1"/>
  <c r="I8" i="1"/>
  <c r="J8" i="1"/>
  <c r="J35" i="1" l="1"/>
  <c r="I35" i="1"/>
  <c r="I36" i="1" s="1"/>
  <c r="N34" i="1" l="1"/>
  <c r="J36" i="1"/>
  <c r="H35" i="1"/>
  <c r="H36" i="1" l="1"/>
  <c r="G8" i="1"/>
  <c r="E15" i="1"/>
  <c r="F15" i="1"/>
  <c r="G15" i="1"/>
  <c r="E8" i="1"/>
  <c r="F8" i="1"/>
  <c r="D15" i="1"/>
  <c r="D8" i="1"/>
  <c r="C15" i="1"/>
  <c r="C8" i="1"/>
  <c r="B15" i="1"/>
  <c r="B8" i="1"/>
  <c r="N15" i="1" l="1"/>
  <c r="N8" i="1"/>
  <c r="G35" i="1"/>
  <c r="G36" i="1" s="1"/>
  <c r="B35" i="1"/>
  <c r="B38" i="1"/>
  <c r="C35" i="1"/>
  <c r="C36" i="1" s="1"/>
  <c r="N26" i="1"/>
  <c r="N25" i="1"/>
  <c r="E35" i="1"/>
  <c r="E36" i="1" s="1"/>
  <c r="D35" i="1"/>
  <c r="D36" i="1" s="1"/>
  <c r="F35" i="1"/>
  <c r="B36" i="1" l="1"/>
  <c r="B37" i="1" s="1"/>
  <c r="N35" i="1"/>
  <c r="F36" i="1"/>
  <c r="C7" i="1"/>
  <c r="C38" i="1" s="1"/>
  <c r="D7" i="1" s="1"/>
  <c r="D38" i="1" s="1"/>
  <c r="N36" i="1" l="1"/>
  <c r="N37" i="1" s="1"/>
  <c r="E7" i="1"/>
  <c r="E38" i="1" s="1"/>
  <c r="F7" i="1" s="1"/>
  <c r="F38" i="1" s="1"/>
  <c r="N38" i="1"/>
  <c r="N40" i="1" s="1"/>
  <c r="G7" i="1" l="1"/>
  <c r="G38" i="1" l="1"/>
  <c r="H7" i="1" s="1"/>
  <c r="H38" i="1" s="1"/>
  <c r="I7" i="1" s="1"/>
  <c r="I38" i="1" s="1"/>
  <c r="C6" i="1"/>
  <c r="C37" i="1" s="1"/>
  <c r="J7" i="1" l="1"/>
  <c r="J38" i="1" s="1"/>
  <c r="D6" i="1"/>
  <c r="D37" i="1" s="1"/>
  <c r="K7" i="1" l="1"/>
  <c r="K38" i="1" s="1"/>
  <c r="L7" i="1" s="1"/>
  <c r="L38" i="1" s="1"/>
  <c r="E6" i="1"/>
  <c r="E37" i="1" s="1"/>
  <c r="M7" i="1" l="1"/>
  <c r="M38" i="1" s="1"/>
  <c r="F6" i="1"/>
  <c r="F37" i="1" s="1"/>
  <c r="G6" i="1" s="1"/>
  <c r="G37" i="1" l="1"/>
  <c r="H6" i="1" s="1"/>
  <c r="H37" i="1" s="1"/>
  <c r="I6" i="1" s="1"/>
  <c r="I37" i="1" s="1"/>
  <c r="J6" i="1" s="1"/>
  <c r="J37" i="1" s="1"/>
  <c r="K6" i="1" s="1"/>
  <c r="K37" i="1" s="1"/>
  <c r="L6" i="1" s="1"/>
  <c r="L37" i="1" s="1"/>
  <c r="M6" i="1" s="1"/>
  <c r="M37" i="1" s="1"/>
</calcChain>
</file>

<file path=xl/sharedStrings.xml><?xml version="1.0" encoding="utf-8"?>
<sst xmlns="http://schemas.openxmlformats.org/spreadsheetml/2006/main" count="51" uniqueCount="43">
  <si>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</si>
  <si>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</si>
  <si>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</si>
  <si>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</si>
  <si>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</si>
  <si>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</si>
  <si>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</si>
  <si>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</si>
  <si>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</si>
  <si>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</si>
  <si>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</si>
  <si>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</si>
  <si>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</si>
  <si>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</si>
  <si>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</si>
  <si>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</si>
  <si>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</si>
  <si>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</si>
  <si>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</si>
  <si>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</si>
  <si>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</si>
  <si>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</si>
  <si>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</si>
  <si>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</si>
  <si>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 xml:space="preserve">                 ОТЧЕТ по дому Матросова, 45</t>
  </si>
  <si>
    <t xml:space="preserve">Тех. обслуживание общедомовых приборов учета </t>
  </si>
  <si>
    <t>Отведение сточных вод ОИ</t>
  </si>
  <si>
    <t xml:space="preserve">Содержание жилья и текущий ремонт,  ОПУ </t>
  </si>
  <si>
    <t>Корректировка задолженности по оплате по решению Арбитражного суда за предыдущие периоды</t>
  </si>
  <si>
    <t>Январь 2022г.</t>
  </si>
  <si>
    <t>Февраль 2022г.</t>
  </si>
  <si>
    <t>Март 2022г.</t>
  </si>
  <si>
    <t>Апрель 2022г.</t>
  </si>
  <si>
    <t>Май 2022г.</t>
  </si>
  <si>
    <t>Июнь 2022г.</t>
  </si>
  <si>
    <t>Июль 2022г.</t>
  </si>
  <si>
    <t>Август 2022г.</t>
  </si>
  <si>
    <t>Сентябрь 2022г.</t>
  </si>
  <si>
    <t>Октябрь 2022г</t>
  </si>
  <si>
    <t>Ноябрь 2022г</t>
  </si>
  <si>
    <t>Декабрь 2022г</t>
  </si>
  <si>
    <t>Всего:                       за  2022г.</t>
  </si>
  <si>
    <r>
      <t xml:space="preserve">за период </t>
    </r>
    <r>
      <rPr>
        <b/>
        <u/>
        <sz val="16"/>
        <rFont val="Times New Roman"/>
        <family val="1"/>
        <charset val="204"/>
      </rPr>
      <t>01.01.2022г. по 31.12.2022г.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</si>
</sst>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7" fillId="0" borderId="0" xfId="0" applyFont="1"/>
    <xf numFmtId="0" fontId="0" fillId="0" borderId="0" xfId="0" applyBorder="1"/>
    <xf numFmtId="0" fontId="8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164" fontId="9" fillId="2" borderId="4" xfId="0" applyNumberFormat="1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vertical="top" wrapText="1"/>
    </xf>
    <xf numFmtId="164" fontId="9" fillId="3" borderId="4" xfId="0" applyNumberFormat="1" applyFont="1" applyFill="1" applyBorder="1" applyAlignment="1">
      <alignment horizontal="left" vertical="top" wrapText="1"/>
    </xf>
    <xf numFmtId="164" fontId="8" fillId="0" borderId="4" xfId="0" applyNumberFormat="1" applyFont="1" applyBorder="1" applyAlignment="1">
      <alignment horizontal="left" vertical="top" wrapText="1"/>
    </xf>
    <xf numFmtId="0" fontId="9" fillId="4" borderId="3" xfId="0" applyFont="1" applyFill="1" applyBorder="1" applyAlignment="1">
      <alignment vertical="top" wrapText="1"/>
    </xf>
    <xf numFmtId="164" fontId="9" fillId="4" borderId="4" xfId="0" applyNumberFormat="1" applyFont="1" applyFill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164" fontId="9" fillId="0" borderId="5" xfId="0" applyNumberFormat="1" applyFont="1" applyBorder="1" applyAlignment="1">
      <alignment horizontal="left" vertical="top" wrapText="1"/>
    </xf>
    <xf numFmtId="164" fontId="9" fillId="0" borderId="2" xfId="0" applyNumberFormat="1" applyFont="1" applyBorder="1" applyAlignment="1">
      <alignment horizontal="left" vertical="top" wrapText="1"/>
    </xf>
    <xf numFmtId="164" fontId="8" fillId="0" borderId="6" xfId="0" applyNumberFormat="1" applyFont="1" applyBorder="1" applyAlignment="1">
      <alignment horizontal="left" vertical="top" wrapText="1"/>
    </xf>
    <xf numFmtId="164" fontId="8" fillId="0" borderId="4" xfId="0" applyNumberFormat="1" applyFont="1" applyFill="1" applyBorder="1" applyAlignment="1">
      <alignment horizontal="left" vertical="top" wrapText="1"/>
    </xf>
    <xf numFmtId="4" fontId="9" fillId="0" borderId="1" xfId="0" applyNumberFormat="1" applyFont="1" applyBorder="1" applyAlignment="1">
      <alignment horizontal="left"/>
    </xf>
    <xf numFmtId="164" fontId="9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/>
    <xf numFmtId="0" fontId="9" fillId="0" borderId="7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7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tabSelected="1" zoomScale="75" workbookViewId="0">
      <selection activeCell="A3" sqref="A1:G1048576"/>
    </sheetView>
  </sheetViews>
  <sheetFormatPr defaultRowHeight="13.2" x14ac:dyDescent="0.25"/>
  <cols>
    <col min="1" max="1" width="58.6640625" customWidth="1"/>
    <col min="2" max="2" width="15.33203125" customWidth="1"/>
    <col min="3" max="3" width="13.88671875" customWidth="1"/>
    <col min="4" max="4" width="14.6640625" customWidth="1"/>
    <col min="5" max="5" width="14.33203125" customWidth="1"/>
    <col min="6" max="6" width="14.6640625" customWidth="1"/>
    <col min="7" max="7" width="14.88671875" customWidth="1"/>
    <col min="8" max="8" width="14.5546875" customWidth="1"/>
    <col min="9" max="9" width="15" customWidth="1"/>
    <col min="10" max="13" width="15.44140625" customWidth="1"/>
    <col min="14" max="14" width="15.88671875" customWidth="1"/>
  </cols>
  <sheetData>
    <row r="1" spans="1:18" ht="20.25" customHeight="1" x14ac:dyDescent="0.4">
      <c r="A1" s="22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20.399999999999999" x14ac:dyDescent="0.35">
      <c r="A2" s="24" t="s">
        <v>42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8" ht="7.5" customHeight="1" thickBot="1" x14ac:dyDescent="0.3">
      <c r="A3" s="1"/>
      <c r="R3" s="2"/>
    </row>
    <row r="4" spans="1:18" ht="3" hidden="1" customHeight="1" thickBot="1" x14ac:dyDescent="0.3">
      <c r="A4" s="1"/>
    </row>
    <row r="5" spans="1:18" ht="38.25" customHeight="1" thickBot="1" x14ac:dyDescent="0.3">
      <c r="A5" s="5" t="s">
        <v>0</v>
      </c>
      <c r="B5" s="6" t="s">
        <v>29</v>
      </c>
      <c r="C5" s="6" t="s">
        <v>30</v>
      </c>
      <c r="D5" s="6" t="s">
        <v>31</v>
      </c>
      <c r="E5" s="6" t="s">
        <v>32</v>
      </c>
      <c r="F5" s="6" t="s">
        <v>33</v>
      </c>
      <c r="G5" s="6" t="s">
        <v>34</v>
      </c>
      <c r="H5" s="6" t="s">
        <v>35</v>
      </c>
      <c r="I5" s="6" t="s">
        <v>36</v>
      </c>
      <c r="J5" s="6" t="s">
        <v>37</v>
      </c>
      <c r="K5" s="6" t="s">
        <v>38</v>
      </c>
      <c r="L5" s="6" t="s">
        <v>39</v>
      </c>
      <c r="M5" s="6" t="s">
        <v>40</v>
      </c>
      <c r="N5" s="6" t="s">
        <v>41</v>
      </c>
    </row>
    <row r="6" spans="1:18" ht="23.25" customHeight="1" thickBot="1" x14ac:dyDescent="0.3">
      <c r="A6" s="7" t="s">
        <v>15</v>
      </c>
      <c r="B6" s="8">
        <v>-231476.52</v>
      </c>
      <c r="C6" s="8">
        <f>B37</f>
        <v>-246674.73233999999</v>
      </c>
      <c r="D6" s="8">
        <f t="shared" ref="D6:D7" si="0">C37</f>
        <v>-234959.69946999996</v>
      </c>
      <c r="E6" s="8">
        <f t="shared" ref="E6:E7" si="1">D37</f>
        <v>-282109.08718999999</v>
      </c>
      <c r="F6" s="8">
        <f t="shared" ref="F6:F7" si="2">E37</f>
        <v>-429321.99491000001</v>
      </c>
      <c r="G6" s="8">
        <f>F37</f>
        <v>-408432.59792999999</v>
      </c>
      <c r="H6" s="8">
        <f t="shared" ref="H6:J7" si="3">G37</f>
        <v>-383417.98284999997</v>
      </c>
      <c r="I6" s="8">
        <f t="shared" si="3"/>
        <v>-369800.02396999998</v>
      </c>
      <c r="J6" s="8">
        <f t="shared" si="3"/>
        <v>-367760.55320999998</v>
      </c>
      <c r="K6" s="8">
        <f t="shared" ref="K6:K7" si="4">J37</f>
        <v>-356508.45405</v>
      </c>
      <c r="L6" s="8">
        <f t="shared" ref="L6:L7" si="5">K37</f>
        <v>-338194.21859</v>
      </c>
      <c r="M6" s="8">
        <f t="shared" ref="M6:M7" si="6">L37</f>
        <v>-515968.01523000002</v>
      </c>
      <c r="N6" s="8">
        <f>B6</f>
        <v>-231476.52</v>
      </c>
    </row>
    <row r="7" spans="1:18" ht="21" customHeight="1" thickBot="1" x14ac:dyDescent="0.3">
      <c r="A7" s="7" t="s">
        <v>13</v>
      </c>
      <c r="B7" s="8">
        <v>-713172.87</v>
      </c>
      <c r="C7" s="8">
        <f>B38</f>
        <v>-745913.45</v>
      </c>
      <c r="D7" s="8">
        <f t="shared" si="0"/>
        <v>-734623.46</v>
      </c>
      <c r="E7" s="8">
        <f t="shared" si="1"/>
        <v>-714429.65999999992</v>
      </c>
      <c r="F7" s="8">
        <f t="shared" si="2"/>
        <v>-726115.85999999987</v>
      </c>
      <c r="G7" s="8">
        <f t="shared" ref="G7" si="7">F38</f>
        <v>-705283.54999999981</v>
      </c>
      <c r="H7" s="8">
        <f t="shared" si="3"/>
        <v>-697767.50999999978</v>
      </c>
      <c r="I7" s="8">
        <f t="shared" si="3"/>
        <v>-698314.92999999982</v>
      </c>
      <c r="J7" s="8">
        <f t="shared" si="3"/>
        <v>-701598.26999999979</v>
      </c>
      <c r="K7" s="8">
        <f t="shared" si="4"/>
        <v>-702121.88999999978</v>
      </c>
      <c r="L7" s="8">
        <f t="shared" si="5"/>
        <v>-696059.1799999997</v>
      </c>
      <c r="M7" s="8">
        <f t="shared" si="6"/>
        <v>-685858.39999999967</v>
      </c>
      <c r="N7" s="8">
        <f>B7</f>
        <v>-713172.87</v>
      </c>
    </row>
    <row r="8" spans="1:18" ht="20.25" customHeight="1" thickBot="1" x14ac:dyDescent="0.3">
      <c r="A8" s="9" t="s">
        <v>12</v>
      </c>
      <c r="B8" s="10">
        <f>SUM(B9:B14)</f>
        <v>96297.58</v>
      </c>
      <c r="C8" s="10">
        <f>SUM(C9:C14)</f>
        <v>65961.31</v>
      </c>
      <c r="D8" s="10">
        <f>SUM(D9:D14)</f>
        <v>58421.24</v>
      </c>
      <c r="E8" s="10">
        <f t="shared" ref="E8:M8" si="8">SUM(E9:E14)</f>
        <v>58421.24</v>
      </c>
      <c r="F8" s="10">
        <f t="shared" si="8"/>
        <v>58421.24</v>
      </c>
      <c r="G8" s="10">
        <f t="shared" si="8"/>
        <v>58421.24</v>
      </c>
      <c r="H8" s="10">
        <f t="shared" si="8"/>
        <v>58421.24</v>
      </c>
      <c r="I8" s="10">
        <f t="shared" si="8"/>
        <v>58262.48</v>
      </c>
      <c r="J8" s="10">
        <f t="shared" si="8"/>
        <v>58262.48</v>
      </c>
      <c r="K8" s="10">
        <f t="shared" si="8"/>
        <v>58087.080000000009</v>
      </c>
      <c r="L8" s="10">
        <f t="shared" si="8"/>
        <v>58087.080000000009</v>
      </c>
      <c r="M8" s="10">
        <f t="shared" si="8"/>
        <v>58308.220000000008</v>
      </c>
      <c r="N8" s="10">
        <f>SUM(B8:M8)</f>
        <v>745372.42999999982</v>
      </c>
    </row>
    <row r="9" spans="1:18" ht="24.75" customHeight="1" thickBot="1" x14ac:dyDescent="0.3">
      <c r="A9" s="4" t="s">
        <v>27</v>
      </c>
      <c r="B9" s="11">
        <f>54791.54+444.83+1215</f>
        <v>56451.37</v>
      </c>
      <c r="C9" s="11">
        <f>54791.54+444.83+1215</f>
        <v>56451.37</v>
      </c>
      <c r="D9" s="11">
        <f>54789.69+444.81+1214.95</f>
        <v>56449.45</v>
      </c>
      <c r="E9" s="11">
        <f>54789.69+444.81+1214.95</f>
        <v>56449.45</v>
      </c>
      <c r="F9" s="11">
        <f>54789.69+444.81+1214.95</f>
        <v>56449.45</v>
      </c>
      <c r="G9" s="11">
        <f>54789.69+444.81+1214.95</f>
        <v>56449.45</v>
      </c>
      <c r="H9" s="11">
        <f>54789.69+444.81+1214.95</f>
        <v>56449.45</v>
      </c>
      <c r="I9" s="11">
        <f>54789.69-5447.46+20965.21-14036.14</f>
        <v>56271.3</v>
      </c>
      <c r="J9" s="11">
        <f>54789.69+1481.61</f>
        <v>56271.3</v>
      </c>
      <c r="K9" s="11">
        <f>54789.69+1481.61</f>
        <v>56271.3</v>
      </c>
      <c r="L9" s="11">
        <f>54789.69+1481.61</f>
        <v>56271.3</v>
      </c>
      <c r="M9" s="11">
        <f>54789.69+1481.61</f>
        <v>56271.3</v>
      </c>
      <c r="N9" s="11">
        <f>SUM(B9:M9)</f>
        <v>676506.49000000011</v>
      </c>
    </row>
    <row r="10" spans="1:18" ht="24.75" customHeight="1" thickBot="1" x14ac:dyDescent="0.3">
      <c r="A10" s="4" t="s">
        <v>16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f t="shared" ref="N10:N14" si="9">SUM(B10:M10)</f>
        <v>0</v>
      </c>
    </row>
    <row r="11" spans="1:18" ht="24.75" customHeight="1" thickBot="1" x14ac:dyDescent="0.3">
      <c r="A11" s="4" t="s">
        <v>17</v>
      </c>
      <c r="B11" s="11">
        <v>506.75</v>
      </c>
      <c r="C11" s="11">
        <v>506.75</v>
      </c>
      <c r="D11" s="11">
        <v>506.74</v>
      </c>
      <c r="E11" s="11">
        <v>506.74</v>
      </c>
      <c r="F11" s="11">
        <v>506.74</v>
      </c>
      <c r="G11" s="11">
        <v>506.74</v>
      </c>
      <c r="H11" s="11">
        <v>506.74</v>
      </c>
      <c r="I11" s="11">
        <v>526.13</v>
      </c>
      <c r="J11" s="11">
        <v>526.13</v>
      </c>
      <c r="K11" s="11">
        <v>350.73</v>
      </c>
      <c r="L11" s="11">
        <v>350.73</v>
      </c>
      <c r="M11" s="11">
        <v>350.8</v>
      </c>
      <c r="N11" s="11">
        <f t="shared" si="9"/>
        <v>5651.72</v>
      </c>
    </row>
    <row r="12" spans="1:18" ht="24.75" customHeight="1" thickBot="1" x14ac:dyDescent="0.3">
      <c r="A12" s="4" t="s">
        <v>18</v>
      </c>
      <c r="B12" s="11">
        <v>37874.400000000001</v>
      </c>
      <c r="C12" s="11">
        <v>7538.13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f t="shared" si="9"/>
        <v>45412.53</v>
      </c>
    </row>
    <row r="13" spans="1:18" ht="24.75" customHeight="1" thickBot="1" x14ac:dyDescent="0.3">
      <c r="A13" s="4" t="s">
        <v>26</v>
      </c>
      <c r="B13" s="11">
        <v>695.06</v>
      </c>
      <c r="C13" s="11">
        <v>695.06</v>
      </c>
      <c r="D13" s="11">
        <v>695.05</v>
      </c>
      <c r="E13" s="11">
        <v>695.05</v>
      </c>
      <c r="F13" s="11">
        <v>695.05</v>
      </c>
      <c r="G13" s="11">
        <v>695.05</v>
      </c>
      <c r="H13" s="11">
        <v>695.05</v>
      </c>
      <c r="I13" s="11">
        <v>695.05</v>
      </c>
      <c r="J13" s="11">
        <v>695.05</v>
      </c>
      <c r="K13" s="11">
        <v>695.05</v>
      </c>
      <c r="L13" s="11">
        <v>695.05</v>
      </c>
      <c r="M13" s="11">
        <v>916.12</v>
      </c>
      <c r="N13" s="11">
        <f t="shared" si="9"/>
        <v>8561.6900000000023</v>
      </c>
    </row>
    <row r="14" spans="1:18" ht="24.75" customHeight="1" thickBot="1" x14ac:dyDescent="0.3">
      <c r="A14" s="4" t="s">
        <v>14</v>
      </c>
      <c r="B14" s="11">
        <v>770</v>
      </c>
      <c r="C14" s="11">
        <v>770</v>
      </c>
      <c r="D14" s="11">
        <v>770</v>
      </c>
      <c r="E14" s="11">
        <v>770</v>
      </c>
      <c r="F14" s="11">
        <v>770</v>
      </c>
      <c r="G14" s="11">
        <v>770</v>
      </c>
      <c r="H14" s="11">
        <v>770</v>
      </c>
      <c r="I14" s="11">
        <v>770</v>
      </c>
      <c r="J14" s="11">
        <v>770</v>
      </c>
      <c r="K14" s="11">
        <v>770</v>
      </c>
      <c r="L14" s="11">
        <v>770</v>
      </c>
      <c r="M14" s="11">
        <v>770</v>
      </c>
      <c r="N14" s="11">
        <f t="shared" si="9"/>
        <v>9240</v>
      </c>
    </row>
    <row r="15" spans="1:18" ht="20.25" customHeight="1" thickBot="1" x14ac:dyDescent="0.3">
      <c r="A15" s="12" t="s">
        <v>8</v>
      </c>
      <c r="B15" s="13">
        <f>SUM(B16:B21)</f>
        <v>63557.000000000007</v>
      </c>
      <c r="C15" s="13">
        <f>SUM(C16:C21)</f>
        <v>77251.300000000017</v>
      </c>
      <c r="D15" s="13">
        <f>SUM(D16:D21)</f>
        <v>78615.039999999994</v>
      </c>
      <c r="E15" s="13">
        <f t="shared" ref="E15:M15" si="10">SUM(E16:E21)</f>
        <v>46735.039999999994</v>
      </c>
      <c r="F15" s="13">
        <f t="shared" si="10"/>
        <v>79253.55</v>
      </c>
      <c r="G15" s="13">
        <f t="shared" si="10"/>
        <v>65937.279999999999</v>
      </c>
      <c r="H15" s="13">
        <f t="shared" si="10"/>
        <v>57873.82</v>
      </c>
      <c r="I15" s="13">
        <f t="shared" si="10"/>
        <v>54979.14</v>
      </c>
      <c r="J15" s="13">
        <f t="shared" si="10"/>
        <v>57738.859999999993</v>
      </c>
      <c r="K15" s="13">
        <f t="shared" si="10"/>
        <v>64149.789999999994</v>
      </c>
      <c r="L15" s="13">
        <f t="shared" si="10"/>
        <v>68287.86</v>
      </c>
      <c r="M15" s="13">
        <f t="shared" si="10"/>
        <v>44471.01</v>
      </c>
      <c r="N15" s="13">
        <f>SUM(B15:M15)</f>
        <v>758849.69000000006</v>
      </c>
    </row>
    <row r="16" spans="1:18" ht="24" customHeight="1" thickBot="1" x14ac:dyDescent="0.3">
      <c r="A16" s="4" t="s">
        <v>27</v>
      </c>
      <c r="B16" s="19">
        <f>48330.44+329.68+46.5+899.26+25.49</f>
        <v>49631.37</v>
      </c>
      <c r="C16" s="11">
        <f>48566.97+412.93-74.55+1226.22+49.78</f>
        <v>50181.35</v>
      </c>
      <c r="D16" s="11">
        <f>66031.26+476.52+178.22+1289.01</f>
        <v>67975.009999999995</v>
      </c>
      <c r="E16" s="11">
        <f>43222.25+327.02+0.36+900.67</f>
        <v>44450.299999999996</v>
      </c>
      <c r="F16" s="11">
        <f>71140.55+520.47+17.09+1415.16</f>
        <v>73093.27</v>
      </c>
      <c r="G16" s="11">
        <f>60808.44+451.6+16.85+1233.52</f>
        <v>62510.409999999996</v>
      </c>
      <c r="H16" s="11">
        <f>52264.73+458.12+292.09+1335.31+8.33</f>
        <v>54358.58</v>
      </c>
      <c r="I16" s="11">
        <f>50191.1+249.95-206.67+714+735.82+3.52</f>
        <v>51687.719999999994</v>
      </c>
      <c r="J16" s="11">
        <f>51352.52+74.41+1912.9+2.09</f>
        <v>53341.919999999998</v>
      </c>
      <c r="K16" s="11">
        <f>59292.56+15.14+1428.03+2.53</f>
        <v>60738.259999999995</v>
      </c>
      <c r="L16" s="11">
        <f>62931.26+615.1+1352.52+5.77</f>
        <v>64904.649999999994</v>
      </c>
      <c r="M16" s="11">
        <f>41610.6+3.32+1112.34+0.5</f>
        <v>42726.759999999995</v>
      </c>
      <c r="N16" s="11">
        <f>SUM(B16:M16)</f>
        <v>675599.6</v>
      </c>
    </row>
    <row r="17" spans="1:15" ht="26.25" customHeight="1" thickBot="1" x14ac:dyDescent="0.3">
      <c r="A17" s="4" t="s">
        <v>16</v>
      </c>
      <c r="B17" s="11">
        <v>280.31</v>
      </c>
      <c r="C17" s="11">
        <v>340.44</v>
      </c>
      <c r="D17" s="11">
        <v>951.67</v>
      </c>
      <c r="E17" s="11">
        <v>25.25</v>
      </c>
      <c r="F17" s="11">
        <v>684.18</v>
      </c>
      <c r="G17" s="11">
        <v>609.37</v>
      </c>
      <c r="H17" s="11">
        <v>239.5</v>
      </c>
      <c r="I17" s="11">
        <v>456.01</v>
      </c>
      <c r="J17" s="11">
        <v>345.92</v>
      </c>
      <c r="K17" s="11">
        <v>223.47</v>
      </c>
      <c r="L17" s="11">
        <v>595.16999999999996</v>
      </c>
      <c r="M17" s="11">
        <v>25.54</v>
      </c>
      <c r="N17" s="11">
        <f t="shared" ref="N17:N21" si="11">SUM(B17:M17)</f>
        <v>4776.83</v>
      </c>
    </row>
    <row r="18" spans="1:15" ht="26.25" customHeight="1" thickBot="1" x14ac:dyDescent="0.3">
      <c r="A18" s="4" t="s">
        <v>17</v>
      </c>
      <c r="B18" s="11">
        <v>426.98</v>
      </c>
      <c r="C18" s="11">
        <v>469.3</v>
      </c>
      <c r="D18" s="11">
        <v>582.83000000000004</v>
      </c>
      <c r="E18" s="11">
        <v>360.25</v>
      </c>
      <c r="F18" s="11">
        <v>627.1</v>
      </c>
      <c r="G18" s="11">
        <v>563.67999999999995</v>
      </c>
      <c r="H18" s="11">
        <v>492.14</v>
      </c>
      <c r="I18" s="11">
        <v>516.57000000000005</v>
      </c>
      <c r="J18" s="11">
        <v>625.41999999999996</v>
      </c>
      <c r="K18" s="11">
        <v>555.21</v>
      </c>
      <c r="L18" s="11">
        <v>403.5</v>
      </c>
      <c r="M18" s="11">
        <v>281.69</v>
      </c>
      <c r="N18" s="11">
        <f t="shared" si="11"/>
        <v>5904.6699999999992</v>
      </c>
    </row>
    <row r="19" spans="1:15" ht="26.25" customHeight="1" thickBot="1" x14ac:dyDescent="0.3">
      <c r="A19" s="4" t="s">
        <v>18</v>
      </c>
      <c r="B19" s="11">
        <v>12252.18</v>
      </c>
      <c r="C19" s="11">
        <v>25228.61</v>
      </c>
      <c r="D19" s="11">
        <v>7940.76</v>
      </c>
      <c r="E19" s="11">
        <v>1005.65</v>
      </c>
      <c r="F19" s="11">
        <v>3564.81</v>
      </c>
      <c r="G19" s="11">
        <v>1050.56</v>
      </c>
      <c r="H19" s="11">
        <v>1707.01</v>
      </c>
      <c r="I19" s="11">
        <v>1239.47</v>
      </c>
      <c r="J19" s="11">
        <v>1766.56</v>
      </c>
      <c r="K19" s="11">
        <v>1484.64</v>
      </c>
      <c r="L19" s="11">
        <v>1365.38</v>
      </c>
      <c r="M19" s="11">
        <v>509.05</v>
      </c>
      <c r="N19" s="11">
        <f t="shared" si="11"/>
        <v>59114.68</v>
      </c>
    </row>
    <row r="20" spans="1:15" ht="26.25" customHeight="1" thickBot="1" x14ac:dyDescent="0.3">
      <c r="A20" s="4" t="s">
        <v>26</v>
      </c>
      <c r="B20" s="11">
        <v>566.16</v>
      </c>
      <c r="C20" s="11">
        <v>631.6</v>
      </c>
      <c r="D20" s="11">
        <v>764.77</v>
      </c>
      <c r="E20" s="11">
        <v>493.59</v>
      </c>
      <c r="F20" s="11">
        <v>884.19</v>
      </c>
      <c r="G20" s="11">
        <v>803.26</v>
      </c>
      <c r="H20" s="11">
        <v>676.59</v>
      </c>
      <c r="I20" s="11">
        <v>679.37</v>
      </c>
      <c r="J20" s="11">
        <v>839.04</v>
      </c>
      <c r="K20" s="11">
        <v>748.21</v>
      </c>
      <c r="L20" s="11">
        <v>619.16</v>
      </c>
      <c r="M20" s="11">
        <v>527.97</v>
      </c>
      <c r="N20" s="11">
        <f t="shared" si="11"/>
        <v>8233.91</v>
      </c>
    </row>
    <row r="21" spans="1:15" ht="26.25" customHeight="1" thickBot="1" x14ac:dyDescent="0.3">
      <c r="A21" s="4" t="s">
        <v>14</v>
      </c>
      <c r="B21" s="14">
        <v>400</v>
      </c>
      <c r="C21" s="14">
        <v>400</v>
      </c>
      <c r="D21" s="14">
        <v>400</v>
      </c>
      <c r="E21" s="14">
        <v>400</v>
      </c>
      <c r="F21" s="14">
        <v>400</v>
      </c>
      <c r="G21" s="14">
        <v>400</v>
      </c>
      <c r="H21" s="14">
        <v>400</v>
      </c>
      <c r="I21" s="14">
        <v>400</v>
      </c>
      <c r="J21" s="11">
        <v>820</v>
      </c>
      <c r="K21" s="11">
        <v>400</v>
      </c>
      <c r="L21" s="11">
        <v>400</v>
      </c>
      <c r="M21" s="11">
        <v>400</v>
      </c>
      <c r="N21" s="11">
        <f t="shared" si="11"/>
        <v>5220</v>
      </c>
      <c r="O21" s="3"/>
    </row>
    <row r="22" spans="1:15" ht="21.75" customHeight="1" thickBot="1" x14ac:dyDescent="0.3">
      <c r="A22" s="15" t="s">
        <v>23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7"/>
    </row>
    <row r="23" spans="1:15" ht="19.5" customHeight="1" thickBot="1" x14ac:dyDescent="0.3">
      <c r="A23" s="4" t="s">
        <v>1</v>
      </c>
      <c r="B23" s="11">
        <f>2963.2*0.55</f>
        <v>1629.76</v>
      </c>
      <c r="C23" s="11">
        <f t="shared" ref="C23:K23" si="12">2963.2*0.55</f>
        <v>1629.76</v>
      </c>
      <c r="D23" s="11">
        <f t="shared" si="12"/>
        <v>1629.76</v>
      </c>
      <c r="E23" s="11">
        <f t="shared" si="12"/>
        <v>1629.76</v>
      </c>
      <c r="F23" s="11">
        <f t="shared" si="12"/>
        <v>1629.76</v>
      </c>
      <c r="G23" s="11">
        <f t="shared" si="12"/>
        <v>1629.76</v>
      </c>
      <c r="H23" s="11">
        <f t="shared" si="12"/>
        <v>1629.76</v>
      </c>
      <c r="I23" s="11">
        <f t="shared" si="12"/>
        <v>1629.76</v>
      </c>
      <c r="J23" s="11">
        <f t="shared" si="12"/>
        <v>1629.76</v>
      </c>
      <c r="K23" s="11">
        <f t="shared" si="12"/>
        <v>1629.76</v>
      </c>
      <c r="L23" s="11">
        <f>2963.2*0.6</f>
        <v>1777.9199999999998</v>
      </c>
      <c r="M23" s="11">
        <f>2963.2*0.6</f>
        <v>1777.9199999999998</v>
      </c>
      <c r="N23" s="11">
        <f t="shared" ref="N23:N34" si="13">SUM(B23:M23)</f>
        <v>19853.439999999999</v>
      </c>
    </row>
    <row r="24" spans="1:15" ht="22.5" customHeight="1" thickBot="1" x14ac:dyDescent="0.3">
      <c r="A24" s="4" t="s">
        <v>2</v>
      </c>
      <c r="B24" s="11">
        <f>2963.2*0.17</f>
        <v>503.74400000000003</v>
      </c>
      <c r="C24" s="11">
        <f t="shared" ref="C24:M24" si="14">2963.2*0.17</f>
        <v>503.74400000000003</v>
      </c>
      <c r="D24" s="11">
        <f t="shared" si="14"/>
        <v>503.74400000000003</v>
      </c>
      <c r="E24" s="11">
        <f t="shared" si="14"/>
        <v>503.74400000000003</v>
      </c>
      <c r="F24" s="11">
        <f t="shared" si="14"/>
        <v>503.74400000000003</v>
      </c>
      <c r="G24" s="11">
        <f t="shared" si="14"/>
        <v>503.74400000000003</v>
      </c>
      <c r="H24" s="11">
        <f t="shared" si="14"/>
        <v>503.74400000000003</v>
      </c>
      <c r="I24" s="11">
        <f t="shared" si="14"/>
        <v>503.74400000000003</v>
      </c>
      <c r="J24" s="11">
        <f t="shared" si="14"/>
        <v>503.74400000000003</v>
      </c>
      <c r="K24" s="11">
        <f t="shared" si="14"/>
        <v>503.74400000000003</v>
      </c>
      <c r="L24" s="11">
        <f t="shared" si="14"/>
        <v>503.74400000000003</v>
      </c>
      <c r="M24" s="11">
        <f t="shared" si="14"/>
        <v>503.74400000000003</v>
      </c>
      <c r="N24" s="11">
        <f t="shared" si="13"/>
        <v>6044.9279999999999</v>
      </c>
    </row>
    <row r="25" spans="1:15" ht="21" customHeight="1" thickBot="1" x14ac:dyDescent="0.3">
      <c r="A25" s="4" t="s">
        <v>3</v>
      </c>
      <c r="B25" s="11">
        <f>95527.58*2.3%</f>
        <v>2197.1343400000001</v>
      </c>
      <c r="C25" s="11">
        <f>65191.31*2.3%</f>
        <v>1499.40013</v>
      </c>
      <c r="D25" s="11">
        <f>57651.24*2.3%</f>
        <v>1325.9785199999999</v>
      </c>
      <c r="E25" s="11">
        <f>57651.24*2.3%</f>
        <v>1325.9785199999999</v>
      </c>
      <c r="F25" s="11">
        <f>57651.24*2.3%</f>
        <v>1325.9785199999999</v>
      </c>
      <c r="G25" s="11">
        <f>57651.24*2.3%</f>
        <v>1325.9785199999999</v>
      </c>
      <c r="H25" s="11">
        <f>57651.24*2.3%</f>
        <v>1325.9785199999999</v>
      </c>
      <c r="I25" s="11">
        <f>57492.48*2.3%</f>
        <v>1322.3270400000001</v>
      </c>
      <c r="J25" s="11">
        <f>57492.48*2.3%</f>
        <v>1322.3270400000001</v>
      </c>
      <c r="K25" s="11">
        <f>57317.08*2.3%</f>
        <v>1318.2928400000001</v>
      </c>
      <c r="L25" s="11">
        <f>57317.08*2.3%</f>
        <v>1318.2928400000001</v>
      </c>
      <c r="M25" s="11">
        <f>57538.22*2.3%</f>
        <v>1323.37906</v>
      </c>
      <c r="N25" s="11">
        <f t="shared" si="13"/>
        <v>16931.045890000001</v>
      </c>
    </row>
    <row r="26" spans="1:15" ht="23.25" customHeight="1" thickBot="1" x14ac:dyDescent="0.3">
      <c r="A26" s="4" t="s">
        <v>4</v>
      </c>
      <c r="B26" s="11">
        <f>63157*3%</f>
        <v>1894.71</v>
      </c>
      <c r="C26" s="11">
        <f>76851.3*3%</f>
        <v>2305.5390000000002</v>
      </c>
      <c r="D26" s="11">
        <f>78215.04*3%</f>
        <v>2346.4511999999995</v>
      </c>
      <c r="E26" s="11">
        <f>46335.04*3%</f>
        <v>1390.0511999999999</v>
      </c>
      <c r="F26" s="11">
        <f>78853.55*3%</f>
        <v>2365.6064999999999</v>
      </c>
      <c r="G26" s="11">
        <f>65537.28*3%</f>
        <v>1966.1183999999998</v>
      </c>
      <c r="H26" s="11">
        <f>57473.82*3%</f>
        <v>1724.2146</v>
      </c>
      <c r="I26" s="11">
        <f>54579.14*3%</f>
        <v>1637.3742</v>
      </c>
      <c r="J26" s="11">
        <f>56918.86*3%</f>
        <v>1707.5657999999999</v>
      </c>
      <c r="K26" s="11">
        <f>63749.79*3%</f>
        <v>1912.4937</v>
      </c>
      <c r="L26" s="11">
        <f>67887.86*3%</f>
        <v>2036.6358</v>
      </c>
      <c r="M26" s="11">
        <f>44071.01*3%</f>
        <v>1322.1303</v>
      </c>
      <c r="N26" s="11">
        <f t="shared" si="13"/>
        <v>22608.890699999996</v>
      </c>
    </row>
    <row r="27" spans="1:15" ht="23.25" customHeight="1" thickBot="1" x14ac:dyDescent="0.3">
      <c r="A27" s="4" t="s">
        <v>9</v>
      </c>
      <c r="B27" s="11">
        <f>2963.2*8.5</f>
        <v>25187.199999999997</v>
      </c>
      <c r="C27" s="11">
        <f t="shared" ref="C27:F27" si="15">2963.2*8.5</f>
        <v>25187.199999999997</v>
      </c>
      <c r="D27" s="11">
        <f t="shared" si="15"/>
        <v>25187.199999999997</v>
      </c>
      <c r="E27" s="11">
        <f t="shared" si="15"/>
        <v>25187.199999999997</v>
      </c>
      <c r="F27" s="11">
        <f t="shared" si="15"/>
        <v>25187.199999999997</v>
      </c>
      <c r="G27" s="11">
        <f>2963.2*8.5</f>
        <v>25187.199999999997</v>
      </c>
      <c r="H27" s="11">
        <f>2963.2*9.7</f>
        <v>28743.039999999997</v>
      </c>
      <c r="I27" s="11">
        <f t="shared" ref="I27:M27" si="16">2963.2*9.7</f>
        <v>28743.039999999997</v>
      </c>
      <c r="J27" s="11">
        <f t="shared" si="16"/>
        <v>28743.039999999997</v>
      </c>
      <c r="K27" s="11">
        <f t="shared" si="16"/>
        <v>28743.039999999997</v>
      </c>
      <c r="L27" s="11">
        <f t="shared" si="16"/>
        <v>28743.039999999997</v>
      </c>
      <c r="M27" s="11">
        <f t="shared" si="16"/>
        <v>28743.039999999997</v>
      </c>
      <c r="N27" s="11">
        <f t="shared" si="13"/>
        <v>323581.43999999994</v>
      </c>
    </row>
    <row r="28" spans="1:15" ht="26.25" customHeight="1" thickBot="1" x14ac:dyDescent="0.3">
      <c r="A28" s="4" t="s">
        <v>19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 t="shared" si="13"/>
        <v>0</v>
      </c>
    </row>
    <row r="29" spans="1:15" ht="26.25" customHeight="1" thickBot="1" x14ac:dyDescent="0.3">
      <c r="A29" s="4" t="s">
        <v>20</v>
      </c>
      <c r="B29" s="11">
        <v>506.84</v>
      </c>
      <c r="C29" s="11">
        <v>506.84</v>
      </c>
      <c r="D29" s="11">
        <v>506.84</v>
      </c>
      <c r="E29" s="11">
        <v>506.84</v>
      </c>
      <c r="F29" s="11">
        <v>506.84</v>
      </c>
      <c r="G29" s="11">
        <v>506.84</v>
      </c>
      <c r="H29" s="11">
        <v>526.1</v>
      </c>
      <c r="I29" s="11">
        <v>526.1</v>
      </c>
      <c r="J29" s="11">
        <v>526.1</v>
      </c>
      <c r="K29" s="11">
        <v>526.1</v>
      </c>
      <c r="L29" s="11">
        <v>526.1</v>
      </c>
      <c r="M29" s="11">
        <v>712.39</v>
      </c>
      <c r="N29" s="11">
        <f t="shared" si="13"/>
        <v>6383.9300000000012</v>
      </c>
    </row>
    <row r="30" spans="1:15" ht="26.25" customHeight="1" thickBot="1" x14ac:dyDescent="0.3">
      <c r="A30" s="4" t="s">
        <v>21</v>
      </c>
      <c r="B30" s="11">
        <v>7538.18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 t="shared" si="13"/>
        <v>7538.18</v>
      </c>
    </row>
    <row r="31" spans="1:15" ht="26.25" customHeight="1" thickBot="1" x14ac:dyDescent="0.3">
      <c r="A31" s="4" t="s">
        <v>26</v>
      </c>
      <c r="B31" s="11">
        <v>694.96</v>
      </c>
      <c r="C31" s="11">
        <v>694.96</v>
      </c>
      <c r="D31" s="11">
        <v>694.96</v>
      </c>
      <c r="E31" s="11">
        <v>694.96</v>
      </c>
      <c r="F31" s="11">
        <v>694.96</v>
      </c>
      <c r="G31" s="11">
        <v>694.96</v>
      </c>
      <c r="H31" s="11">
        <v>694.96</v>
      </c>
      <c r="I31" s="11">
        <v>694.96</v>
      </c>
      <c r="J31" s="11">
        <v>694.96</v>
      </c>
      <c r="K31" s="11">
        <v>694.96</v>
      </c>
      <c r="L31" s="11">
        <v>694.96</v>
      </c>
      <c r="M31" s="11">
        <v>916.4</v>
      </c>
      <c r="N31" s="11">
        <f t="shared" si="13"/>
        <v>8560.9600000000009</v>
      </c>
    </row>
    <row r="32" spans="1:15" ht="22.5" customHeight="1" thickBot="1" x14ac:dyDescent="0.3">
      <c r="A32" s="4" t="s">
        <v>6</v>
      </c>
      <c r="B32" s="11">
        <f>2963.2*2.77</f>
        <v>8208.0640000000003</v>
      </c>
      <c r="C32" s="11">
        <f t="shared" ref="C32:M32" si="17">2963.2*2.77</f>
        <v>8208.0640000000003</v>
      </c>
      <c r="D32" s="11">
        <f t="shared" si="17"/>
        <v>8208.0640000000003</v>
      </c>
      <c r="E32" s="11">
        <f t="shared" si="17"/>
        <v>8208.0640000000003</v>
      </c>
      <c r="F32" s="11">
        <f t="shared" si="17"/>
        <v>8208.0640000000003</v>
      </c>
      <c r="G32" s="11">
        <f t="shared" si="17"/>
        <v>8208.0640000000003</v>
      </c>
      <c r="H32" s="11">
        <f t="shared" si="17"/>
        <v>8208.0640000000003</v>
      </c>
      <c r="I32" s="11">
        <f t="shared" si="17"/>
        <v>8208.0640000000003</v>
      </c>
      <c r="J32" s="11">
        <f t="shared" si="17"/>
        <v>8208.0640000000003</v>
      </c>
      <c r="K32" s="11">
        <f t="shared" si="17"/>
        <v>8208.0640000000003</v>
      </c>
      <c r="L32" s="11">
        <f t="shared" si="17"/>
        <v>8208.0640000000003</v>
      </c>
      <c r="M32" s="11">
        <f t="shared" si="17"/>
        <v>8208.0640000000003</v>
      </c>
      <c r="N32" s="11">
        <f t="shared" si="13"/>
        <v>98496.767999999996</v>
      </c>
    </row>
    <row r="33" spans="1:14" ht="22.5" customHeight="1" thickBot="1" x14ac:dyDescent="0.3">
      <c r="A33" s="4" t="s">
        <v>25</v>
      </c>
      <c r="B33" s="11">
        <f>1140</f>
        <v>1140</v>
      </c>
      <c r="C33" s="11">
        <f>1140</f>
        <v>1140</v>
      </c>
      <c r="D33" s="11">
        <f>1140</f>
        <v>1140</v>
      </c>
      <c r="E33" s="11">
        <f>1140</f>
        <v>1140</v>
      </c>
      <c r="F33" s="11">
        <f>1140</f>
        <v>1140</v>
      </c>
      <c r="G33" s="11">
        <v>900</v>
      </c>
      <c r="H33" s="11">
        <v>900</v>
      </c>
      <c r="I33" s="11">
        <v>900</v>
      </c>
      <c r="J33" s="11">
        <v>900</v>
      </c>
      <c r="K33" s="11">
        <f>900</f>
        <v>900</v>
      </c>
      <c r="L33" s="11">
        <f>900</f>
        <v>900</v>
      </c>
      <c r="M33" s="11">
        <f>900</f>
        <v>900</v>
      </c>
      <c r="N33" s="11">
        <f t="shared" si="13"/>
        <v>12000</v>
      </c>
    </row>
    <row r="34" spans="1:14" ht="24" customHeight="1" thickBot="1" x14ac:dyDescent="0.3">
      <c r="A34" s="4" t="s">
        <v>10</v>
      </c>
      <c r="B34" s="11">
        <f>225+225+340+75+1615.8+26773.82</f>
        <v>29254.62</v>
      </c>
      <c r="C34" s="11">
        <f>2234.3+21626.46</f>
        <v>23860.76</v>
      </c>
      <c r="D34" s="11">
        <f>35668.74+48552.69</f>
        <v>84221.43</v>
      </c>
      <c r="E34" s="11">
        <f>5638.6+2880+4603.6+1880+138359.15</f>
        <v>153361.35</v>
      </c>
      <c r="F34" s="11">
        <f>1130.5+15671.5</f>
        <v>16802</v>
      </c>
      <c r="G34" s="11">
        <v>0</v>
      </c>
      <c r="H34" s="11">
        <v>0</v>
      </c>
      <c r="I34" s="11">
        <f>170+785.9+7818.4</f>
        <v>8774.2999999999993</v>
      </c>
      <c r="J34" s="11">
        <f>1352.8+898.4</f>
        <v>2251.1999999999998</v>
      </c>
      <c r="K34" s="11">
        <f>899.1+500</f>
        <v>1399.1</v>
      </c>
      <c r="L34" s="11">
        <f>10132.2+1197.4+540+1518.3+187965</f>
        <v>201352.9</v>
      </c>
      <c r="M34" s="11">
        <f>546.5+1016.7+315</f>
        <v>1878.2</v>
      </c>
      <c r="N34" s="11">
        <f t="shared" si="13"/>
        <v>523155.86000000004</v>
      </c>
    </row>
    <row r="35" spans="1:14" ht="22.5" customHeight="1" thickBot="1" x14ac:dyDescent="0.3">
      <c r="A35" s="9" t="s">
        <v>22</v>
      </c>
      <c r="B35" s="10">
        <f t="shared" ref="B35:M35" si="18">SUM(B23:B34)</f>
        <v>78755.212339999998</v>
      </c>
      <c r="C35" s="10">
        <f t="shared" si="18"/>
        <v>65536.267129999993</v>
      </c>
      <c r="D35" s="10">
        <f t="shared" si="18"/>
        <v>125764.42771999999</v>
      </c>
      <c r="E35" s="10">
        <f t="shared" si="18"/>
        <v>193947.94772</v>
      </c>
      <c r="F35" s="10">
        <f t="shared" si="18"/>
        <v>58364.153019999998</v>
      </c>
      <c r="G35" s="10">
        <f t="shared" si="18"/>
        <v>40922.664919999996</v>
      </c>
      <c r="H35" s="10">
        <f t="shared" si="18"/>
        <v>44255.861119999994</v>
      </c>
      <c r="I35" s="10">
        <f t="shared" si="18"/>
        <v>52939.669239999988</v>
      </c>
      <c r="J35" s="10">
        <f t="shared" si="18"/>
        <v>46486.760839999988</v>
      </c>
      <c r="K35" s="10">
        <f t="shared" si="18"/>
        <v>45835.55453999999</v>
      </c>
      <c r="L35" s="10">
        <f t="shared" si="18"/>
        <v>246061.65664</v>
      </c>
      <c r="M35" s="10">
        <f t="shared" si="18"/>
        <v>46285.267359999991</v>
      </c>
      <c r="N35" s="10">
        <f>SUM(B35:M35)</f>
        <v>1045155.4425899999</v>
      </c>
    </row>
    <row r="36" spans="1:14" ht="23.25" customHeight="1" thickBot="1" x14ac:dyDescent="0.3">
      <c r="A36" s="4" t="s">
        <v>5</v>
      </c>
      <c r="B36" s="18">
        <f t="shared" ref="B36:N36" si="19">B15-B35</f>
        <v>-15198.212339999991</v>
      </c>
      <c r="C36" s="18">
        <f t="shared" si="19"/>
        <v>11715.032870000025</v>
      </c>
      <c r="D36" s="18">
        <f t="shared" si="19"/>
        <v>-47149.387719999999</v>
      </c>
      <c r="E36" s="18">
        <f t="shared" si="19"/>
        <v>-147212.90772000002</v>
      </c>
      <c r="F36" s="18">
        <f t="shared" si="19"/>
        <v>20889.396980000005</v>
      </c>
      <c r="G36" s="18">
        <f t="shared" si="19"/>
        <v>25014.615080000003</v>
      </c>
      <c r="H36" s="18">
        <f t="shared" si="19"/>
        <v>13617.958880000006</v>
      </c>
      <c r="I36" s="18">
        <f t="shared" si="19"/>
        <v>2039.4707600000111</v>
      </c>
      <c r="J36" s="18">
        <f t="shared" si="19"/>
        <v>11252.099160000005</v>
      </c>
      <c r="K36" s="18">
        <f t="shared" si="19"/>
        <v>18314.235460000004</v>
      </c>
      <c r="L36" s="18">
        <f t="shared" si="19"/>
        <v>-177773.79664000002</v>
      </c>
      <c r="M36" s="18">
        <f t="shared" si="19"/>
        <v>-1814.2573599999887</v>
      </c>
      <c r="N36" s="11">
        <f t="shared" si="19"/>
        <v>-286305.75258999981</v>
      </c>
    </row>
    <row r="37" spans="1:14" ht="23.25" customHeight="1" thickBot="1" x14ac:dyDescent="0.3">
      <c r="A37" s="4" t="s">
        <v>7</v>
      </c>
      <c r="B37" s="14">
        <f t="shared" ref="B37:N37" si="20">B6+B36</f>
        <v>-246674.73233999999</v>
      </c>
      <c r="C37" s="14">
        <f t="shared" si="20"/>
        <v>-234959.69946999996</v>
      </c>
      <c r="D37" s="14">
        <f t="shared" si="20"/>
        <v>-282109.08718999999</v>
      </c>
      <c r="E37" s="14">
        <f t="shared" si="20"/>
        <v>-429321.99491000001</v>
      </c>
      <c r="F37" s="14">
        <f t="shared" si="20"/>
        <v>-408432.59792999999</v>
      </c>
      <c r="G37" s="14">
        <f t="shared" si="20"/>
        <v>-383417.98284999997</v>
      </c>
      <c r="H37" s="14">
        <f t="shared" si="20"/>
        <v>-369800.02396999998</v>
      </c>
      <c r="I37" s="14">
        <f t="shared" si="20"/>
        <v>-367760.55320999998</v>
      </c>
      <c r="J37" s="14">
        <f t="shared" si="20"/>
        <v>-356508.45405</v>
      </c>
      <c r="K37" s="14">
        <f t="shared" si="20"/>
        <v>-338194.21859</v>
      </c>
      <c r="L37" s="14">
        <f t="shared" si="20"/>
        <v>-515968.01523000002</v>
      </c>
      <c r="M37" s="14">
        <f t="shared" si="20"/>
        <v>-517782.27259000001</v>
      </c>
      <c r="N37" s="14">
        <f t="shared" si="20"/>
        <v>-517782.27258999983</v>
      </c>
    </row>
    <row r="38" spans="1:14" ht="27" customHeight="1" thickBot="1" x14ac:dyDescent="0.3">
      <c r="A38" s="5" t="s">
        <v>11</v>
      </c>
      <c r="B38" s="17">
        <f>B7+B15-B8</f>
        <v>-745913.45</v>
      </c>
      <c r="C38" s="17">
        <f>C7+C15-C8</f>
        <v>-734623.46</v>
      </c>
      <c r="D38" s="17">
        <f>D7+D15-D8</f>
        <v>-714429.65999999992</v>
      </c>
      <c r="E38" s="17">
        <f t="shared" ref="E38:M38" si="21">E7+E15-E8</f>
        <v>-726115.85999999987</v>
      </c>
      <c r="F38" s="17">
        <f t="shared" si="21"/>
        <v>-705283.54999999981</v>
      </c>
      <c r="G38" s="17">
        <f t="shared" si="21"/>
        <v>-697767.50999999978</v>
      </c>
      <c r="H38" s="17">
        <f t="shared" si="21"/>
        <v>-698314.92999999982</v>
      </c>
      <c r="I38" s="17">
        <f t="shared" si="21"/>
        <v>-701598.26999999979</v>
      </c>
      <c r="J38" s="17">
        <f t="shared" si="21"/>
        <v>-702121.88999999978</v>
      </c>
      <c r="K38" s="17">
        <f t="shared" si="21"/>
        <v>-696059.1799999997</v>
      </c>
      <c r="L38" s="17">
        <f t="shared" si="21"/>
        <v>-685858.39999999967</v>
      </c>
      <c r="M38" s="17">
        <f t="shared" si="21"/>
        <v>-699695.60999999964</v>
      </c>
      <c r="N38" s="21">
        <f>N7+N15-N8</f>
        <v>-699695.60999999975</v>
      </c>
    </row>
    <row r="39" spans="1:14" ht="19.5" hidden="1" customHeight="1" thickBot="1" x14ac:dyDescent="0.35">
      <c r="A39" s="26" t="s">
        <v>28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8"/>
      <c r="N39" s="21"/>
    </row>
    <row r="40" spans="1:14" ht="18" hidden="1" customHeight="1" thickBot="1" x14ac:dyDescent="0.35">
      <c r="A40" s="29" t="s">
        <v>11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1"/>
      <c r="N40" s="20">
        <f>N38+N39</f>
        <v>-699695.60999999975</v>
      </c>
    </row>
  </sheetData>
  <mergeCells count="4">
    <mergeCell ref="A1:N1"/>
    <mergeCell ref="A2:P2"/>
    <mergeCell ref="A39:M39"/>
    <mergeCell ref="A40:M40"/>
  </mergeCells>
  <phoneticPr fontId="4" type="noConversion"/>
  <pageMargins left="0.19685039370078741" right="0.19685039370078741" top="0.19685039370078741" bottom="0.19685039370078741" header="0.51181102362204722" footer="0.51181102362204722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2023-03-02T05:09:32Z</cp:lastPrinted>
  <dcterms:created xsi:type="dcterms:W3CDTF">2011-06-06T03:25:48Z</dcterms:created>
  <dcterms:modified xsi:type="dcterms:W3CDTF">2023-03-02T05:18:38Z</dcterms:modified>
</cp:coreProperties>
</file>