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7496" windowHeight="1093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L37" i="1" l="1"/>
  <c r="M37" i="1" l="1"/>
  <c r="M29" i="1" l="1"/>
  <c r="K29" i="1"/>
  <c r="M27" i="1" l="1"/>
  <c r="M16" i="1"/>
  <c r="M26" i="1"/>
  <c r="M8" i="1"/>
  <c r="K37" i="1" l="1"/>
  <c r="F37" i="1" l="1"/>
  <c r="L27" i="1" l="1"/>
  <c r="L16" i="1"/>
  <c r="L26" i="1"/>
  <c r="L8" i="1"/>
  <c r="K27" i="1" l="1"/>
  <c r="K16" i="1"/>
  <c r="K26" i="1"/>
  <c r="K8" i="1"/>
  <c r="L34" i="1" l="1"/>
  <c r="M34" i="1"/>
  <c r="K34" i="1"/>
  <c r="J34" i="1"/>
  <c r="K28" i="1"/>
  <c r="L28" i="1"/>
  <c r="M28" i="1"/>
  <c r="K25" i="1"/>
  <c r="L25" i="1"/>
  <c r="M25" i="1"/>
  <c r="M24" i="1"/>
  <c r="L24" i="1"/>
  <c r="K24" i="1"/>
  <c r="J37" i="1" l="1"/>
  <c r="J29" i="1" l="1"/>
  <c r="I29" i="1"/>
  <c r="I37" i="1" l="1"/>
  <c r="I28" i="1" l="1"/>
  <c r="J28" i="1"/>
  <c r="H28" i="1"/>
  <c r="J27" i="1" l="1"/>
  <c r="J16" i="1"/>
  <c r="J26" i="1"/>
  <c r="J8" i="1"/>
  <c r="H34" i="1"/>
  <c r="I34" i="1"/>
  <c r="H25" i="1"/>
  <c r="I25" i="1"/>
  <c r="J25" i="1"/>
  <c r="H24" i="1"/>
  <c r="I24" i="1"/>
  <c r="J24" i="1"/>
  <c r="I27" i="1" l="1"/>
  <c r="I16" i="1"/>
  <c r="I26" i="1"/>
  <c r="I8" i="1"/>
  <c r="H37" i="1" l="1"/>
  <c r="H27" i="1" l="1"/>
  <c r="H16" i="1"/>
  <c r="H26" i="1"/>
  <c r="H8" i="1"/>
  <c r="G37" i="1" l="1"/>
  <c r="G27" i="1" l="1"/>
  <c r="G16" i="1"/>
  <c r="G26" i="1"/>
  <c r="G8" i="1"/>
  <c r="F27" i="1" l="1"/>
  <c r="F16" i="1"/>
  <c r="F26" i="1" l="1"/>
  <c r="F8" i="1"/>
  <c r="E37" i="1" l="1"/>
  <c r="E27" i="1" l="1"/>
  <c r="E16" i="1"/>
  <c r="E26" i="1"/>
  <c r="E8" i="1"/>
  <c r="E34" i="1" l="1"/>
  <c r="F34" i="1"/>
  <c r="G34" i="1"/>
  <c r="E28" i="1"/>
  <c r="F28" i="1"/>
  <c r="G28" i="1"/>
  <c r="E25" i="1"/>
  <c r="F25" i="1"/>
  <c r="G25" i="1"/>
  <c r="E24" i="1"/>
  <c r="F24" i="1"/>
  <c r="G24" i="1"/>
  <c r="C29" i="1" l="1"/>
  <c r="C37" i="1" l="1"/>
  <c r="D27" i="1" l="1"/>
  <c r="D16" i="1"/>
  <c r="D26" i="1"/>
  <c r="D8" i="1"/>
  <c r="C27" i="1" l="1"/>
  <c r="C16" i="1"/>
  <c r="C26" i="1"/>
  <c r="C8" i="1"/>
  <c r="B27" i="1" l="1"/>
  <c r="B16" i="1"/>
  <c r="B26" i="1"/>
  <c r="B8" i="1"/>
  <c r="C34" i="1" l="1"/>
  <c r="D34" i="1"/>
  <c r="C28" i="1"/>
  <c r="D28" i="1"/>
  <c r="C25" i="1"/>
  <c r="D25" i="1"/>
  <c r="C24" i="1"/>
  <c r="D24" i="1"/>
  <c r="B34" i="1"/>
  <c r="B28" i="1"/>
  <c r="B25" i="1"/>
  <c r="B24" i="1"/>
  <c r="N14" i="1" l="1"/>
  <c r="N6" i="1" l="1"/>
  <c r="N5" i="1"/>
  <c r="L7" i="1" l="1"/>
  <c r="N8" i="1"/>
  <c r="N24" i="1"/>
  <c r="N25" i="1"/>
  <c r="N28" i="1"/>
  <c r="N29" i="1"/>
  <c r="N30" i="1"/>
  <c r="N31" i="1"/>
  <c r="N32" i="1"/>
  <c r="N33" i="1"/>
  <c r="N34" i="1"/>
  <c r="N35" i="1"/>
  <c r="N36" i="1"/>
  <c r="N37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K7" i="1"/>
  <c r="M7" i="1"/>
  <c r="M38" i="1" l="1"/>
  <c r="M39" i="1" s="1"/>
  <c r="L38" i="1"/>
  <c r="L39" i="1" s="1"/>
  <c r="N27" i="1"/>
  <c r="K38" i="1"/>
  <c r="C15" i="1"/>
  <c r="D15" i="1"/>
  <c r="D38" i="1" s="1"/>
  <c r="D39" i="1" s="1"/>
  <c r="E15" i="1"/>
  <c r="F15" i="1"/>
  <c r="G15" i="1"/>
  <c r="H15" i="1"/>
  <c r="I15" i="1"/>
  <c r="J15" i="1"/>
  <c r="G38" i="1" l="1"/>
  <c r="G39" i="1" s="1"/>
  <c r="J38" i="1"/>
  <c r="J39" i="1" s="1"/>
  <c r="K39" i="1"/>
  <c r="J7" i="1" l="1"/>
  <c r="I7" i="1"/>
  <c r="H7" i="1"/>
  <c r="I38" i="1" l="1"/>
  <c r="I39" i="1" s="1"/>
  <c r="H38" i="1" l="1"/>
  <c r="H39" i="1" l="1"/>
  <c r="N26" i="1"/>
  <c r="E7" i="1" l="1"/>
  <c r="F7" i="1"/>
  <c r="G7" i="1"/>
  <c r="D7" i="1"/>
  <c r="C7" i="1"/>
  <c r="B15" i="1"/>
  <c r="B7" i="1"/>
  <c r="B38" i="1" l="1"/>
  <c r="B39" i="1" s="1"/>
  <c r="B40" i="1" s="1"/>
  <c r="B41" i="1"/>
  <c r="C6" i="1" s="1"/>
  <c r="C41" i="1" s="1"/>
  <c r="N15" i="1"/>
  <c r="N7" i="1"/>
  <c r="E38" i="1"/>
  <c r="F38" i="1"/>
  <c r="F39" i="1" s="1"/>
  <c r="N41" i="1" l="1"/>
  <c r="E39" i="1"/>
  <c r="D6" i="1"/>
  <c r="D41" i="1" s="1"/>
  <c r="C38" i="1"/>
  <c r="C5" i="1"/>
  <c r="N38" i="1" l="1"/>
  <c r="E6" i="1"/>
  <c r="E41" i="1" s="1"/>
  <c r="F6" i="1" s="1"/>
  <c r="F41" i="1" s="1"/>
  <c r="C39" i="1"/>
  <c r="C40" i="1" s="1"/>
  <c r="D5" i="1" s="1"/>
  <c r="D40" i="1" s="1"/>
  <c r="N39" i="1" l="1"/>
  <c r="N40" i="1"/>
  <c r="G6" i="1"/>
  <c r="G41" i="1" s="1"/>
  <c r="E5" i="1"/>
  <c r="E40" i="1" s="1"/>
  <c r="H6" i="1" l="1"/>
  <c r="H41" i="1" s="1"/>
  <c r="F5" i="1"/>
  <c r="F40" i="1" s="1"/>
  <c r="I6" i="1" l="1"/>
  <c r="I41" i="1" s="1"/>
  <c r="G5" i="1"/>
  <c r="G40" i="1" s="1"/>
  <c r="J6" i="1" l="1"/>
  <c r="H5" i="1"/>
  <c r="H40" i="1" s="1"/>
  <c r="J41" i="1" l="1"/>
  <c r="K6" i="1" s="1"/>
  <c r="K41" i="1" s="1"/>
  <c r="L6" i="1" s="1"/>
  <c r="L41" i="1" s="1"/>
  <c r="M6" i="1" s="1"/>
  <c r="M41" i="1" s="1"/>
  <c r="I5" i="1"/>
  <c r="I40" i="1" s="1"/>
  <c r="J5" i="1" l="1"/>
  <c r="J40" i="1" s="1"/>
  <c r="K5" i="1" l="1"/>
  <c r="K40" i="1" l="1"/>
  <c r="L5" i="1" s="1"/>
  <c r="L40" i="1" l="1"/>
  <c r="M5" i="1" s="1"/>
  <c r="M40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<sst xmlns="http://schemas.openxmlformats.org/spreadsheetml/2006/main" count="52" uniqueCount="44">
  <si>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</si>
  <si>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</si>
  <si>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</si>
  <si>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</si>
  <si>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</si>
  <si>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</si>
  <si>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</si>
  <si>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</si>
  <si>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</si>
  <si>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</si>
  <si>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</si>
  <si>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</si>
  <si>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</si>
  <si>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</si>
  <si>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</si>
  <si>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</si>
  <si>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</si>
  <si>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</si>
  <si>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</si>
  <si>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</si>
  <si>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</si>
  <si>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</si>
  <si>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</si>
  <si>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</si>
  <si>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</si>
  <si>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</si>
  <si>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теплоэнергии</t>
  </si>
  <si>
    <t>Вознаграждение, координация с советом МКД</t>
  </si>
  <si>
    <t xml:space="preserve">Содержание жилья и текущий ремонт,  ОПУ </t>
  </si>
  <si>
    <t>Содержание жилья и текущий ремонт,  ОПУ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</si>
  <si>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</si>
  <si>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</si>
  <si>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</si>
  <si>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</si>
  <si>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</si>
  <si>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</si>
  <si>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</si>
  <si>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</si>
  <si>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</si>
  <si>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</si>
  <si>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</si>
  <si>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</si>
  <si>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2022г.</t>
  </si>
  <si>
    <t xml:space="preserve">                 ОТЧЕТ по дому Липового, 80 за период 01.01.2022г. по 31.12.2022г.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</si>
</sst>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164" fontId="5" fillId="0" borderId="6" xfId="0" applyNumberFormat="1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topLeftCell="A23" zoomScale="75" workbookViewId="0">
      <selection activeCell="A2" sqref="A1:H1048576"/>
    </sheetView>
  </sheetViews>
  <sheetFormatPr defaultRowHeight="13.2" x14ac:dyDescent="0.25"/>
  <cols>
    <col min="1" max="1" width="58.6640625" customWidth="1"/>
    <col min="2" max="2" width="14.109375" customWidth="1"/>
    <col min="3" max="3" width="13.44140625" customWidth="1"/>
    <col min="4" max="4" width="14.33203125" customWidth="1"/>
    <col min="5" max="5" width="13.5546875" customWidth="1"/>
    <col min="6" max="6" width="13.6640625" customWidth="1"/>
    <col min="7" max="7" width="13.88671875" customWidth="1"/>
    <col min="8" max="8" width="14.44140625" customWidth="1"/>
    <col min="9" max="13" width="13.88671875" customWidth="1"/>
    <col min="14" max="14" width="15.88671875" customWidth="1"/>
  </cols>
  <sheetData>
    <row r="1" spans="1:18" ht="20.25" customHeight="1" x14ac:dyDescent="0.35">
      <c r="A1" s="20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6" t="s">
        <v>0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41</v>
      </c>
      <c r="N4" s="7" t="s">
        <v>42</v>
      </c>
    </row>
    <row r="5" spans="1:18" ht="23.25" customHeight="1" thickBot="1" x14ac:dyDescent="0.3">
      <c r="A5" s="8" t="s">
        <v>16</v>
      </c>
      <c r="B5" s="9">
        <v>86725.08</v>
      </c>
      <c r="C5" s="9">
        <f t="shared" ref="C5:D6" si="0">B40</f>
        <v>99848.310219999999</v>
      </c>
      <c r="D5" s="9">
        <f t="shared" si="0"/>
        <v>-37997.315259999988</v>
      </c>
      <c r="E5" s="9">
        <f t="shared" ref="E5:E6" si="1">D40</f>
        <v>-32476.210519999986</v>
      </c>
      <c r="F5" s="9">
        <f t="shared" ref="F5:F6" si="2">E40</f>
        <v>-25486.109069999984</v>
      </c>
      <c r="G5" s="9">
        <f t="shared" ref="G5:G6" si="3">F40</f>
        <v>-9554.1170499999789</v>
      </c>
      <c r="H5" s="9">
        <f t="shared" ref="H5:H6" si="4">G40</f>
        <v>1526.3532300000297</v>
      </c>
      <c r="I5" s="9">
        <f t="shared" ref="I5:I6" si="5">H40</f>
        <v>7485.1967200000363</v>
      </c>
      <c r="J5" s="9">
        <f t="shared" ref="J5:J6" si="6">I40</f>
        <v>-18544.391989999953</v>
      </c>
      <c r="K5" s="9">
        <f t="shared" ref="K5:K6" si="7">J40</f>
        <v>-16707.225089999949</v>
      </c>
      <c r="L5" s="9">
        <f t="shared" ref="L5:L6" si="8">K40</f>
        <v>-62381.682569999932</v>
      </c>
      <c r="M5" s="9">
        <f t="shared" ref="M5:M6" si="9">L40</f>
        <v>-105363.64587999992</v>
      </c>
      <c r="N5" s="9">
        <f>B5</f>
        <v>86725.08</v>
      </c>
    </row>
    <row r="6" spans="1:18" ht="21" customHeight="1" thickBot="1" x14ac:dyDescent="0.3">
      <c r="A6" s="8" t="s">
        <v>13</v>
      </c>
      <c r="B6" s="9">
        <v>-101744.43</v>
      </c>
      <c r="C6" s="9">
        <f t="shared" si="0"/>
        <v>-105390.41</v>
      </c>
      <c r="D6" s="9">
        <f t="shared" si="0"/>
        <v>-108958.20000000001</v>
      </c>
      <c r="E6" s="9">
        <f t="shared" si="1"/>
        <v>-110145.00000000003</v>
      </c>
      <c r="F6" s="9">
        <f t="shared" si="2"/>
        <v>-125628.62000000002</v>
      </c>
      <c r="G6" s="9">
        <f t="shared" si="3"/>
        <v>-119878.66000000003</v>
      </c>
      <c r="H6" s="9">
        <f t="shared" si="4"/>
        <v>-122465.59000000003</v>
      </c>
      <c r="I6" s="9">
        <f t="shared" si="5"/>
        <v>-127081.93000000002</v>
      </c>
      <c r="J6" s="9">
        <f t="shared" si="6"/>
        <v>-126459.02000000002</v>
      </c>
      <c r="K6" s="9">
        <f t="shared" si="7"/>
        <v>-127432.05000000002</v>
      </c>
      <c r="L6" s="9">
        <f t="shared" si="8"/>
        <v>-144846.54999999999</v>
      </c>
      <c r="M6" s="9">
        <f t="shared" si="9"/>
        <v>-168147.49</v>
      </c>
      <c r="N6" s="9">
        <f>B6</f>
        <v>-101744.43</v>
      </c>
    </row>
    <row r="7" spans="1:18" ht="20.25" customHeight="1" thickBot="1" x14ac:dyDescent="0.3">
      <c r="A7" s="10" t="s">
        <v>12</v>
      </c>
      <c r="B7" s="11">
        <f>SUM(B8:B14)</f>
        <v>60727.060000000005</v>
      </c>
      <c r="C7" s="11">
        <f>SUM(C8:C14)</f>
        <v>60727.060000000005</v>
      </c>
      <c r="D7" s="11">
        <f>SUM(D8:D14)</f>
        <v>60734.420000000006</v>
      </c>
      <c r="E7" s="11">
        <f t="shared" ref="E7:G7" si="10">SUM(E8:E14)</f>
        <v>70721.55</v>
      </c>
      <c r="F7" s="11">
        <f t="shared" si="10"/>
        <v>60727.060000000005</v>
      </c>
      <c r="G7" s="11">
        <f t="shared" si="10"/>
        <v>62108.540000000008</v>
      </c>
      <c r="H7" s="11">
        <f>SUM(H8:H14)</f>
        <v>64156.070000000007</v>
      </c>
      <c r="I7" s="11">
        <f>SUM(I8:I14)</f>
        <v>60425.97</v>
      </c>
      <c r="J7" s="11">
        <f>SUM(J8:J14)</f>
        <v>60543</v>
      </c>
      <c r="K7" s="11">
        <f t="shared" ref="K7:M7" si="11">SUM(K8:K14)</f>
        <v>72929.159999999989</v>
      </c>
      <c r="L7" s="11">
        <f t="shared" si="11"/>
        <v>89068.67</v>
      </c>
      <c r="M7" s="11">
        <f t="shared" si="11"/>
        <v>74963.47</v>
      </c>
      <c r="N7" s="11">
        <f>SUM(B7:M7)</f>
        <v>797832.03000000014</v>
      </c>
    </row>
    <row r="8" spans="1:18" ht="21" customHeight="1" thickBot="1" x14ac:dyDescent="0.3">
      <c r="A8" s="3" t="s">
        <v>28</v>
      </c>
      <c r="B8" s="12">
        <f t="shared" ref="B8:G8" si="12">58024.1+1654.05</f>
        <v>59678.15</v>
      </c>
      <c r="C8" s="12">
        <f t="shared" si="12"/>
        <v>59678.15</v>
      </c>
      <c r="D8" s="12">
        <f t="shared" si="12"/>
        <v>59678.15</v>
      </c>
      <c r="E8" s="12">
        <f t="shared" si="12"/>
        <v>59678.15</v>
      </c>
      <c r="F8" s="12">
        <f t="shared" si="12"/>
        <v>59678.15</v>
      </c>
      <c r="G8" s="12">
        <f t="shared" si="12"/>
        <v>59678.15</v>
      </c>
      <c r="H8" s="12">
        <f>58024.1+1654.05</f>
        <v>59678.15</v>
      </c>
      <c r="I8" s="12">
        <f>58024.1+893.2</f>
        <v>58917.299999999996</v>
      </c>
      <c r="J8" s="12">
        <f>58024.1+893.2</f>
        <v>58917.299999999996</v>
      </c>
      <c r="K8" s="12">
        <f>69602.45+893.2</f>
        <v>70495.649999999994</v>
      </c>
      <c r="L8" s="12">
        <f>69602.45+893.2</f>
        <v>70495.649999999994</v>
      </c>
      <c r="M8" s="12">
        <f>69602.45+893.2</f>
        <v>70495.649999999994</v>
      </c>
      <c r="N8" s="12">
        <f>SUM(B8:M8)</f>
        <v>747068.60000000009</v>
      </c>
    </row>
    <row r="9" spans="1:18" ht="21" customHeight="1" thickBot="1" x14ac:dyDescent="0.3">
      <c r="A9" s="3" t="s">
        <v>17</v>
      </c>
      <c r="B9" s="12">
        <v>0</v>
      </c>
      <c r="C9" s="12">
        <v>0</v>
      </c>
      <c r="D9" s="12">
        <v>7.36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74.17</v>
      </c>
      <c r="L9" s="12">
        <v>13658.41</v>
      </c>
      <c r="M9" s="12">
        <v>0</v>
      </c>
      <c r="N9" s="12">
        <f t="shared" ref="N9:N14" si="13">SUM(B9:M9)</f>
        <v>13739.94</v>
      </c>
    </row>
    <row r="10" spans="1:18" ht="21" customHeight="1" thickBot="1" x14ac:dyDescent="0.3">
      <c r="A10" s="3" t="s">
        <v>18</v>
      </c>
      <c r="B10" s="12">
        <v>273.61</v>
      </c>
      <c r="C10" s="12">
        <v>273.61</v>
      </c>
      <c r="D10" s="12">
        <v>273.61</v>
      </c>
      <c r="E10" s="12">
        <v>273.61</v>
      </c>
      <c r="F10" s="12">
        <v>273.61</v>
      </c>
      <c r="G10" s="12">
        <v>273.61</v>
      </c>
      <c r="H10" s="12">
        <v>273.61</v>
      </c>
      <c r="I10" s="12">
        <v>284.08</v>
      </c>
      <c r="J10" s="12">
        <v>284.08</v>
      </c>
      <c r="K10" s="12">
        <v>189.43</v>
      </c>
      <c r="L10" s="12">
        <v>189.43</v>
      </c>
      <c r="M10" s="12">
        <v>189.35</v>
      </c>
      <c r="N10" s="12">
        <f t="shared" si="13"/>
        <v>3051.64</v>
      </c>
    </row>
    <row r="11" spans="1:18" ht="21" customHeight="1" thickBot="1" x14ac:dyDescent="0.3">
      <c r="A11" s="3" t="s">
        <v>19</v>
      </c>
      <c r="B11" s="12">
        <v>0</v>
      </c>
      <c r="C11" s="12">
        <v>0</v>
      </c>
      <c r="D11" s="12">
        <v>0</v>
      </c>
      <c r="E11" s="12">
        <v>9994.49</v>
      </c>
      <c r="F11" s="12">
        <v>0</v>
      </c>
      <c r="G11" s="12">
        <v>1381.48</v>
      </c>
      <c r="H11" s="12">
        <v>3429.01</v>
      </c>
      <c r="I11" s="12">
        <v>449.29</v>
      </c>
      <c r="J11" s="12">
        <v>566.32000000000005</v>
      </c>
      <c r="K11" s="12">
        <v>1394.61</v>
      </c>
      <c r="L11" s="12">
        <v>3949.88</v>
      </c>
      <c r="M11" s="12">
        <v>3383.65</v>
      </c>
      <c r="N11" s="12">
        <f t="shared" si="13"/>
        <v>24548.730000000003</v>
      </c>
    </row>
    <row r="12" spans="1:18" ht="21" customHeight="1" thickBot="1" x14ac:dyDescent="0.3">
      <c r="A12" s="3" t="s">
        <v>25</v>
      </c>
      <c r="B12" s="12">
        <v>375.3</v>
      </c>
      <c r="C12" s="12">
        <v>375.3</v>
      </c>
      <c r="D12" s="12">
        <v>375.3</v>
      </c>
      <c r="E12" s="12">
        <v>375.3</v>
      </c>
      <c r="F12" s="12">
        <v>375.3</v>
      </c>
      <c r="G12" s="12">
        <v>375.3</v>
      </c>
      <c r="H12" s="12">
        <v>375.3</v>
      </c>
      <c r="I12" s="12">
        <v>375.3</v>
      </c>
      <c r="J12" s="12">
        <v>375.3</v>
      </c>
      <c r="K12" s="12">
        <v>375.3</v>
      </c>
      <c r="L12" s="12">
        <v>375.3</v>
      </c>
      <c r="M12" s="12">
        <v>494.82</v>
      </c>
      <c r="N12" s="12">
        <f t="shared" si="13"/>
        <v>4623.1200000000008</v>
      </c>
    </row>
    <row r="13" spans="1:18" ht="21" hidden="1" customHeight="1" thickBot="1" x14ac:dyDescent="0.3">
      <c r="A13" s="3" t="s">
        <v>27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>
        <f t="shared" si="13"/>
        <v>0</v>
      </c>
    </row>
    <row r="14" spans="1:18" ht="21" customHeight="1" thickBot="1" x14ac:dyDescent="0.3">
      <c r="A14" s="3" t="s">
        <v>15</v>
      </c>
      <c r="B14" s="12">
        <v>400</v>
      </c>
      <c r="C14" s="12">
        <v>400</v>
      </c>
      <c r="D14" s="12">
        <v>400</v>
      </c>
      <c r="E14" s="12">
        <v>400</v>
      </c>
      <c r="F14" s="12">
        <v>400</v>
      </c>
      <c r="G14" s="12">
        <v>400</v>
      </c>
      <c r="H14" s="12">
        <v>400</v>
      </c>
      <c r="I14" s="12">
        <v>400</v>
      </c>
      <c r="J14" s="12">
        <v>400</v>
      </c>
      <c r="K14" s="12">
        <v>400</v>
      </c>
      <c r="L14" s="12">
        <v>400</v>
      </c>
      <c r="M14" s="12">
        <v>400</v>
      </c>
      <c r="N14" s="12">
        <f t="shared" si="13"/>
        <v>4800</v>
      </c>
    </row>
    <row r="15" spans="1:18" ht="20.25" customHeight="1" thickBot="1" x14ac:dyDescent="0.3">
      <c r="A15" s="13" t="s">
        <v>8</v>
      </c>
      <c r="B15" s="14">
        <f>SUM(B16:B22)</f>
        <v>57081.079999999994</v>
      </c>
      <c r="C15" s="14">
        <f t="shared" ref="C15:M15" si="14">SUM(C16:C22)</f>
        <v>57159.270000000004</v>
      </c>
      <c r="D15" s="14">
        <f t="shared" si="14"/>
        <v>59547.619999999995</v>
      </c>
      <c r="E15" s="14">
        <f t="shared" si="14"/>
        <v>55237.93</v>
      </c>
      <c r="F15" s="14">
        <f t="shared" si="14"/>
        <v>66477.02</v>
      </c>
      <c r="G15" s="14">
        <f t="shared" si="14"/>
        <v>59521.610000000008</v>
      </c>
      <c r="H15" s="14">
        <f t="shared" si="14"/>
        <v>59539.73</v>
      </c>
      <c r="I15" s="14">
        <f t="shared" si="14"/>
        <v>61048.88</v>
      </c>
      <c r="J15" s="14">
        <f t="shared" si="14"/>
        <v>59569.97</v>
      </c>
      <c r="K15" s="14">
        <f t="shared" si="14"/>
        <v>55514.66</v>
      </c>
      <c r="L15" s="14">
        <f t="shared" si="14"/>
        <v>65767.73000000001</v>
      </c>
      <c r="M15" s="14">
        <f t="shared" si="14"/>
        <v>83953.090000000011</v>
      </c>
      <c r="N15" s="14">
        <f>SUM(B15:M15)</f>
        <v>740418.59</v>
      </c>
    </row>
    <row r="16" spans="1:18" ht="24" customHeight="1" thickBot="1" x14ac:dyDescent="0.3">
      <c r="A16" s="3" t="s">
        <v>29</v>
      </c>
      <c r="B16" s="12">
        <f>54381.74-87.3+1544.18</f>
        <v>55838.619999999995</v>
      </c>
      <c r="C16" s="12">
        <f>53844.55+312.52+1908.07</f>
        <v>56065.14</v>
      </c>
      <c r="D16" s="12">
        <f>56981.63+1497.95</f>
        <v>58479.579999999994</v>
      </c>
      <c r="E16" s="12">
        <f>52406.08+1434.7</f>
        <v>53840.78</v>
      </c>
      <c r="F16" s="12">
        <f>55250.41+1520.5</f>
        <v>56770.91</v>
      </c>
      <c r="G16" s="12">
        <f>56316.28+77.01+1632.97</f>
        <v>58026.26</v>
      </c>
      <c r="H16" s="12">
        <f>55427.86+1770.6</f>
        <v>57198.46</v>
      </c>
      <c r="I16" s="12">
        <f>55358.4+1583.78</f>
        <v>56942.18</v>
      </c>
      <c r="J16" s="12">
        <f>56927.56+908.48</f>
        <v>57836.04</v>
      </c>
      <c r="K16" s="12">
        <f>53175.47+790.26</f>
        <v>53965.73</v>
      </c>
      <c r="L16" s="12">
        <f>62577.69+802.07</f>
        <v>63379.76</v>
      </c>
      <c r="M16" s="12">
        <f>65881.15-43.12+866.66+1077.8</f>
        <v>67782.490000000005</v>
      </c>
      <c r="N16" s="12">
        <f>SUM(B16:M16)</f>
        <v>696125.95000000007</v>
      </c>
    </row>
    <row r="17" spans="1:14" ht="24" customHeight="1" thickBot="1" x14ac:dyDescent="0.3">
      <c r="A17" s="3" t="s">
        <v>17</v>
      </c>
      <c r="B17" s="12">
        <v>31.88</v>
      </c>
      <c r="C17" s="12">
        <v>26.54</v>
      </c>
      <c r="D17" s="12">
        <v>12.66</v>
      </c>
      <c r="E17" s="12">
        <v>4.91</v>
      </c>
      <c r="F17" s="12">
        <v>11.58</v>
      </c>
      <c r="G17" s="12">
        <v>4.47</v>
      </c>
      <c r="H17" s="12">
        <v>2.66</v>
      </c>
      <c r="I17" s="12">
        <v>7.28</v>
      </c>
      <c r="J17" s="12">
        <v>6.54</v>
      </c>
      <c r="K17" s="12">
        <v>4.29</v>
      </c>
      <c r="L17" s="12">
        <v>197.44</v>
      </c>
      <c r="M17" s="12">
        <v>11687.97</v>
      </c>
      <c r="N17" s="12">
        <f t="shared" ref="N17:N22" si="15">SUM(B17:M17)</f>
        <v>11998.22</v>
      </c>
    </row>
    <row r="18" spans="1:14" ht="24" customHeight="1" thickBot="1" x14ac:dyDescent="0.3">
      <c r="A18" s="3" t="s">
        <v>18</v>
      </c>
      <c r="B18" s="12">
        <v>260.55</v>
      </c>
      <c r="C18" s="12">
        <v>262.83</v>
      </c>
      <c r="D18" s="12">
        <v>267.56</v>
      </c>
      <c r="E18" s="12">
        <v>252.24</v>
      </c>
      <c r="F18" s="12">
        <v>264.27999999999997</v>
      </c>
      <c r="G18" s="12">
        <v>266.39999999999998</v>
      </c>
      <c r="H18" s="12">
        <v>262.85000000000002</v>
      </c>
      <c r="I18" s="12">
        <v>263.67</v>
      </c>
      <c r="J18" s="12">
        <v>280.05</v>
      </c>
      <c r="K18" s="12">
        <v>258.64</v>
      </c>
      <c r="L18" s="12">
        <v>175.34</v>
      </c>
      <c r="M18" s="12">
        <v>182.08</v>
      </c>
      <c r="N18" s="12">
        <f t="shared" si="15"/>
        <v>2996.4900000000002</v>
      </c>
    </row>
    <row r="19" spans="1:14" ht="24" customHeight="1" thickBot="1" x14ac:dyDescent="0.3">
      <c r="A19" s="3" t="s">
        <v>19</v>
      </c>
      <c r="B19" s="12">
        <v>192.17</v>
      </c>
      <c r="C19" s="12">
        <v>43.15</v>
      </c>
      <c r="D19" s="12">
        <v>20.260000000000002</v>
      </c>
      <c r="E19" s="12">
        <v>393.98</v>
      </c>
      <c r="F19" s="12">
        <v>8667.2000000000007</v>
      </c>
      <c r="G19" s="12">
        <v>458.97</v>
      </c>
      <c r="H19" s="12">
        <v>1315.07</v>
      </c>
      <c r="I19" s="12">
        <v>3074.1</v>
      </c>
      <c r="J19" s="12">
        <v>675.88</v>
      </c>
      <c r="K19" s="12">
        <v>541.85</v>
      </c>
      <c r="L19" s="12">
        <v>1275.21</v>
      </c>
      <c r="M19" s="12">
        <v>3544.57</v>
      </c>
      <c r="N19" s="12">
        <f t="shared" si="15"/>
        <v>20202.41</v>
      </c>
    </row>
    <row r="20" spans="1:14" ht="24" customHeight="1" thickBot="1" x14ac:dyDescent="0.3">
      <c r="A20" s="3" t="s">
        <v>25</v>
      </c>
      <c r="B20" s="12">
        <v>357.86</v>
      </c>
      <c r="C20" s="12">
        <v>361.61</v>
      </c>
      <c r="D20" s="12">
        <v>367.56</v>
      </c>
      <c r="E20" s="12">
        <v>346.02</v>
      </c>
      <c r="F20" s="12">
        <v>363.05</v>
      </c>
      <c r="G20" s="12">
        <v>365.51</v>
      </c>
      <c r="H20" s="12">
        <v>360.69</v>
      </c>
      <c r="I20" s="12">
        <v>361.65</v>
      </c>
      <c r="J20" s="12">
        <v>371.46</v>
      </c>
      <c r="K20" s="12">
        <v>344.15</v>
      </c>
      <c r="L20" s="12">
        <v>339.98</v>
      </c>
      <c r="M20" s="12">
        <v>355.98</v>
      </c>
      <c r="N20" s="12">
        <f t="shared" si="15"/>
        <v>4295.5200000000004</v>
      </c>
    </row>
    <row r="21" spans="1:14" ht="24" hidden="1" customHeight="1" thickBot="1" x14ac:dyDescent="0.3">
      <c r="A21" s="3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f t="shared" si="15"/>
        <v>0</v>
      </c>
    </row>
    <row r="22" spans="1:14" ht="24" customHeight="1" thickBot="1" x14ac:dyDescent="0.3">
      <c r="A22" s="3" t="s">
        <v>15</v>
      </c>
      <c r="B22" s="12">
        <v>400</v>
      </c>
      <c r="C22" s="12">
        <v>400</v>
      </c>
      <c r="D22" s="12">
        <v>400</v>
      </c>
      <c r="E22" s="12">
        <v>400</v>
      </c>
      <c r="F22" s="12">
        <v>400</v>
      </c>
      <c r="G22" s="12">
        <v>400</v>
      </c>
      <c r="H22" s="12">
        <v>400</v>
      </c>
      <c r="I22" s="12">
        <v>400</v>
      </c>
      <c r="J22" s="12">
        <v>400</v>
      </c>
      <c r="K22" s="12">
        <v>400</v>
      </c>
      <c r="L22" s="12">
        <v>400</v>
      </c>
      <c r="M22" s="12">
        <v>400</v>
      </c>
      <c r="N22" s="12">
        <f t="shared" si="15"/>
        <v>4800</v>
      </c>
    </row>
    <row r="23" spans="1:14" ht="24" customHeight="1" thickBot="1" x14ac:dyDescent="0.3">
      <c r="A23" s="4" t="s">
        <v>24</v>
      </c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</row>
    <row r="24" spans="1:14" ht="24" customHeight="1" thickBot="1" x14ac:dyDescent="0.3">
      <c r="A24" s="3" t="s">
        <v>1</v>
      </c>
      <c r="B24" s="12">
        <f t="shared" ref="B24:K24" si="16">3308.1*0.55</f>
        <v>1819.4550000000002</v>
      </c>
      <c r="C24" s="12">
        <f t="shared" si="16"/>
        <v>1819.4550000000002</v>
      </c>
      <c r="D24" s="12">
        <f t="shared" si="16"/>
        <v>1819.4550000000002</v>
      </c>
      <c r="E24" s="12">
        <f t="shared" si="16"/>
        <v>1819.4550000000002</v>
      </c>
      <c r="F24" s="12">
        <f t="shared" si="16"/>
        <v>1819.4550000000002</v>
      </c>
      <c r="G24" s="12">
        <f t="shared" si="16"/>
        <v>1819.4550000000002</v>
      </c>
      <c r="H24" s="12">
        <f t="shared" si="16"/>
        <v>1819.4550000000002</v>
      </c>
      <c r="I24" s="12">
        <f t="shared" si="16"/>
        <v>1819.4550000000002</v>
      </c>
      <c r="J24" s="12">
        <f t="shared" si="16"/>
        <v>1819.4550000000002</v>
      </c>
      <c r="K24" s="12">
        <f t="shared" si="16"/>
        <v>1819.4550000000002</v>
      </c>
      <c r="L24" s="12">
        <f>3308.1*0.6</f>
        <v>1984.86</v>
      </c>
      <c r="M24" s="12">
        <f>3308.1*0.6</f>
        <v>1984.86</v>
      </c>
      <c r="N24" s="12">
        <f t="shared" ref="N24:N37" si="17">SUM(B24:M24)</f>
        <v>22164.270000000004</v>
      </c>
    </row>
    <row r="25" spans="1:14" ht="24" customHeight="1" thickBot="1" x14ac:dyDescent="0.3">
      <c r="A25" s="3" t="s">
        <v>2</v>
      </c>
      <c r="B25" s="12">
        <f t="shared" ref="B25:M25" si="18">3308.1*0.17</f>
        <v>562.37700000000007</v>
      </c>
      <c r="C25" s="12">
        <f t="shared" si="18"/>
        <v>562.37700000000007</v>
      </c>
      <c r="D25" s="12">
        <f t="shared" si="18"/>
        <v>562.37700000000007</v>
      </c>
      <c r="E25" s="12">
        <f t="shared" si="18"/>
        <v>562.37700000000007</v>
      </c>
      <c r="F25" s="12">
        <f t="shared" si="18"/>
        <v>562.37700000000007</v>
      </c>
      <c r="G25" s="12">
        <f t="shared" si="18"/>
        <v>562.37700000000007</v>
      </c>
      <c r="H25" s="12">
        <f t="shared" si="18"/>
        <v>562.37700000000007</v>
      </c>
      <c r="I25" s="12">
        <f t="shared" si="18"/>
        <v>562.37700000000007</v>
      </c>
      <c r="J25" s="12">
        <f t="shared" si="18"/>
        <v>562.37700000000007</v>
      </c>
      <c r="K25" s="12">
        <f t="shared" si="18"/>
        <v>562.37700000000007</v>
      </c>
      <c r="L25" s="12">
        <f t="shared" si="18"/>
        <v>562.37700000000007</v>
      </c>
      <c r="M25" s="12">
        <f t="shared" si="18"/>
        <v>562.37700000000007</v>
      </c>
      <c r="N25" s="12">
        <f t="shared" si="17"/>
        <v>6748.5240000000022</v>
      </c>
    </row>
    <row r="26" spans="1:14" ht="24" customHeight="1" thickBot="1" x14ac:dyDescent="0.3">
      <c r="A26" s="3" t="s">
        <v>3</v>
      </c>
      <c r="B26" s="12">
        <f>60327.06*2.3%</f>
        <v>1387.5223799999999</v>
      </c>
      <c r="C26" s="12">
        <f>60327.06*2.3%</f>
        <v>1387.5223799999999</v>
      </c>
      <c r="D26" s="12">
        <f>60334.42*2.3%</f>
        <v>1387.69166</v>
      </c>
      <c r="E26" s="12">
        <f>70321.55*2.3%</f>
        <v>1617.3956499999999</v>
      </c>
      <c r="F26" s="12">
        <f>60327.06*2.3%</f>
        <v>1387.5223799999999</v>
      </c>
      <c r="G26" s="12">
        <f>61708.54*2.3%</f>
        <v>1419.2964199999999</v>
      </c>
      <c r="H26" s="12">
        <f>63756.07*2.3%</f>
        <v>1466.3896099999999</v>
      </c>
      <c r="I26" s="12">
        <f>60025.97*2.3%</f>
        <v>1380.5973100000001</v>
      </c>
      <c r="J26" s="12">
        <f>60143*2.3%</f>
        <v>1383.289</v>
      </c>
      <c r="K26" s="12">
        <f>72529.16*2.3%</f>
        <v>1668.1706799999999</v>
      </c>
      <c r="L26" s="12">
        <f>88668.67*2.3%</f>
        <v>2039.37941</v>
      </c>
      <c r="M26" s="12">
        <f>74563.47*2.3%</f>
        <v>1714.9598100000001</v>
      </c>
      <c r="N26" s="12">
        <f t="shared" si="17"/>
        <v>18239.736690000002</v>
      </c>
    </row>
    <row r="27" spans="1:14" ht="24" customHeight="1" thickBot="1" x14ac:dyDescent="0.3">
      <c r="A27" s="3" t="s">
        <v>4</v>
      </c>
      <c r="B27" s="12">
        <f>56681.08*3%</f>
        <v>1700.4323999999999</v>
      </c>
      <c r="C27" s="12">
        <f>56759.27*3%</f>
        <v>1702.7780999999998</v>
      </c>
      <c r="D27" s="12">
        <f>59147.62*3%</f>
        <v>1774.4286</v>
      </c>
      <c r="E27" s="12">
        <f>54837.93*3%</f>
        <v>1645.1378999999999</v>
      </c>
      <c r="F27" s="12">
        <f>66077.02*3%</f>
        <v>1982.3106</v>
      </c>
      <c r="G27" s="12">
        <f>59121.61*3%</f>
        <v>1773.6483000000001</v>
      </c>
      <c r="H27" s="12">
        <f>59139.73*3%</f>
        <v>1774.1919</v>
      </c>
      <c r="I27" s="12">
        <f>60648.88*3%</f>
        <v>1819.4663999999998</v>
      </c>
      <c r="J27" s="12">
        <f>59169.97*3%</f>
        <v>1775.0990999999999</v>
      </c>
      <c r="K27" s="12">
        <f>55114.66*3%</f>
        <v>1653.4398000000001</v>
      </c>
      <c r="L27" s="12">
        <f>65367.73*3%</f>
        <v>1961.0319</v>
      </c>
      <c r="M27" s="12">
        <f>83553.09*3%</f>
        <v>2506.5926999999997</v>
      </c>
      <c r="N27" s="12">
        <f t="shared" si="17"/>
        <v>22068.557699999998</v>
      </c>
    </row>
    <row r="28" spans="1:14" ht="24" customHeight="1" thickBot="1" x14ac:dyDescent="0.3">
      <c r="A28" s="3" t="s">
        <v>9</v>
      </c>
      <c r="B28" s="12">
        <f t="shared" ref="B28:G28" si="19">3308.1*8.5</f>
        <v>28118.85</v>
      </c>
      <c r="C28" s="12">
        <f t="shared" si="19"/>
        <v>28118.85</v>
      </c>
      <c r="D28" s="12">
        <f t="shared" si="19"/>
        <v>28118.85</v>
      </c>
      <c r="E28" s="12">
        <f t="shared" si="19"/>
        <v>28118.85</v>
      </c>
      <c r="F28" s="12">
        <f t="shared" si="19"/>
        <v>28118.85</v>
      </c>
      <c r="G28" s="12">
        <f t="shared" si="19"/>
        <v>28118.85</v>
      </c>
      <c r="H28" s="12">
        <f>3308.1*9.7</f>
        <v>32088.569999999996</v>
      </c>
      <c r="I28" s="12">
        <f t="shared" ref="I28:M28" si="20">3308.1*9.7</f>
        <v>32088.569999999996</v>
      </c>
      <c r="J28" s="12">
        <f t="shared" si="20"/>
        <v>32088.569999999996</v>
      </c>
      <c r="K28" s="12">
        <f t="shared" si="20"/>
        <v>32088.569999999996</v>
      </c>
      <c r="L28" s="12">
        <f t="shared" si="20"/>
        <v>32088.569999999996</v>
      </c>
      <c r="M28" s="12">
        <f t="shared" si="20"/>
        <v>32088.569999999996</v>
      </c>
      <c r="N28" s="12">
        <f t="shared" si="17"/>
        <v>361244.52</v>
      </c>
    </row>
    <row r="29" spans="1:14" ht="24" customHeight="1" thickBot="1" x14ac:dyDescent="0.3">
      <c r="A29" s="3" t="s">
        <v>20</v>
      </c>
      <c r="B29" s="12">
        <v>0</v>
      </c>
      <c r="C29" s="12">
        <f>0+7.9</f>
        <v>7.9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f>0.2+0</f>
        <v>0.2</v>
      </c>
      <c r="J29" s="12">
        <f>70.17+3.99</f>
        <v>74.16</v>
      </c>
      <c r="K29" s="12">
        <f>13552.76+105.69</f>
        <v>13658.45</v>
      </c>
      <c r="L29" s="12">
        <v>0</v>
      </c>
      <c r="M29" s="12">
        <f>126.54+0.04</f>
        <v>126.58000000000001</v>
      </c>
      <c r="N29" s="12">
        <f t="shared" si="17"/>
        <v>13867.29</v>
      </c>
    </row>
    <row r="30" spans="1:14" ht="24" customHeight="1" thickBot="1" x14ac:dyDescent="0.3">
      <c r="A30" s="3" t="s">
        <v>21</v>
      </c>
      <c r="B30" s="12">
        <v>273.67</v>
      </c>
      <c r="C30" s="12">
        <v>273.67</v>
      </c>
      <c r="D30" s="12">
        <v>273.67</v>
      </c>
      <c r="E30" s="12">
        <v>273.67</v>
      </c>
      <c r="F30" s="12">
        <v>273.67</v>
      </c>
      <c r="G30" s="12">
        <v>273.67</v>
      </c>
      <c r="H30" s="12">
        <v>284.08</v>
      </c>
      <c r="I30" s="12">
        <v>284.08</v>
      </c>
      <c r="J30" s="12">
        <v>284.08</v>
      </c>
      <c r="K30" s="12">
        <v>284.08</v>
      </c>
      <c r="L30" s="12">
        <v>284.08</v>
      </c>
      <c r="M30" s="12">
        <v>384.66</v>
      </c>
      <c r="N30" s="12">
        <f t="shared" si="17"/>
        <v>3447.08</v>
      </c>
    </row>
    <row r="31" spans="1:14" ht="24" customHeight="1" thickBot="1" x14ac:dyDescent="0.3">
      <c r="A31" s="3" t="s">
        <v>22</v>
      </c>
      <c r="B31" s="12">
        <v>0</v>
      </c>
      <c r="C31" s="12">
        <v>0</v>
      </c>
      <c r="D31" s="12">
        <v>9994.5</v>
      </c>
      <c r="E31" s="12">
        <v>0</v>
      </c>
      <c r="F31" s="12">
        <v>1381.5</v>
      </c>
      <c r="G31" s="12">
        <v>3429</v>
      </c>
      <c r="H31" s="12">
        <v>449.28</v>
      </c>
      <c r="I31" s="12">
        <v>566.28</v>
      </c>
      <c r="J31" s="12">
        <v>1394.63</v>
      </c>
      <c r="K31" s="12">
        <v>3949.92</v>
      </c>
      <c r="L31" s="12">
        <v>3383.64</v>
      </c>
      <c r="M31" s="12">
        <v>3406.8</v>
      </c>
      <c r="N31" s="12">
        <f t="shared" si="17"/>
        <v>27955.55</v>
      </c>
    </row>
    <row r="32" spans="1:14" ht="22.8" customHeight="1" thickBot="1" x14ac:dyDescent="0.3">
      <c r="A32" s="3" t="s">
        <v>25</v>
      </c>
      <c r="B32" s="12">
        <v>375.24</v>
      </c>
      <c r="C32" s="12">
        <v>375.24</v>
      </c>
      <c r="D32" s="12">
        <v>375.24</v>
      </c>
      <c r="E32" s="12">
        <v>375.24</v>
      </c>
      <c r="F32" s="12">
        <v>375.24</v>
      </c>
      <c r="G32" s="12">
        <v>375.24</v>
      </c>
      <c r="H32" s="12">
        <v>375.24</v>
      </c>
      <c r="I32" s="12">
        <v>375.24</v>
      </c>
      <c r="J32" s="12">
        <v>375.24</v>
      </c>
      <c r="K32" s="12">
        <v>375.24</v>
      </c>
      <c r="L32" s="12">
        <v>375.24</v>
      </c>
      <c r="M32" s="12">
        <v>494.82</v>
      </c>
      <c r="N32" s="12">
        <f t="shared" si="17"/>
        <v>4622.4599999999991</v>
      </c>
    </row>
    <row r="33" spans="1:14" ht="18.75" hidden="1" customHeight="1" thickBot="1" x14ac:dyDescent="0.3">
      <c r="A33" s="5" t="s">
        <v>27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2">
        <f t="shared" si="17"/>
        <v>0</v>
      </c>
    </row>
    <row r="34" spans="1:14" ht="24" customHeight="1" thickBot="1" x14ac:dyDescent="0.3">
      <c r="A34" s="3" t="s">
        <v>6</v>
      </c>
      <c r="B34" s="12">
        <f t="shared" ref="B34:J34" si="21">3308.1*2.63</f>
        <v>8700.3029999999999</v>
      </c>
      <c r="C34" s="12">
        <f t="shared" si="21"/>
        <v>8700.3029999999999</v>
      </c>
      <c r="D34" s="12">
        <f t="shared" si="21"/>
        <v>8700.3029999999999</v>
      </c>
      <c r="E34" s="12">
        <f t="shared" si="21"/>
        <v>8700.3029999999999</v>
      </c>
      <c r="F34" s="12">
        <f t="shared" si="21"/>
        <v>8700.3029999999999</v>
      </c>
      <c r="G34" s="12">
        <f t="shared" si="21"/>
        <v>8700.3029999999999</v>
      </c>
      <c r="H34" s="12">
        <f t="shared" si="21"/>
        <v>8700.3029999999999</v>
      </c>
      <c r="I34" s="12">
        <f t="shared" si="21"/>
        <v>8700.3029999999999</v>
      </c>
      <c r="J34" s="12">
        <f t="shared" si="21"/>
        <v>8700.3029999999999</v>
      </c>
      <c r="K34" s="12">
        <f>3308.1*3.15</f>
        <v>10420.514999999999</v>
      </c>
      <c r="L34" s="12">
        <f t="shared" ref="L34:M34" si="22">3308.1*3.15</f>
        <v>10420.514999999999</v>
      </c>
      <c r="M34" s="12">
        <f t="shared" si="22"/>
        <v>10420.514999999999</v>
      </c>
      <c r="N34" s="12">
        <f t="shared" si="17"/>
        <v>109564.272</v>
      </c>
    </row>
    <row r="35" spans="1:14" ht="26.4" customHeight="1" thickBot="1" x14ac:dyDescent="0.3">
      <c r="A35" s="3" t="s">
        <v>26</v>
      </c>
      <c r="B35" s="12">
        <v>1020</v>
      </c>
      <c r="C35" s="12">
        <v>1020</v>
      </c>
      <c r="D35" s="12">
        <v>1020</v>
      </c>
      <c r="E35" s="12">
        <v>1020</v>
      </c>
      <c r="F35" s="12">
        <v>1020</v>
      </c>
      <c r="G35" s="12">
        <v>1020</v>
      </c>
      <c r="H35" s="12">
        <v>1020</v>
      </c>
      <c r="I35" s="12">
        <v>1020</v>
      </c>
      <c r="J35" s="12">
        <v>1020</v>
      </c>
      <c r="K35" s="12">
        <v>1020</v>
      </c>
      <c r="L35" s="12">
        <v>1020</v>
      </c>
      <c r="M35" s="12">
        <v>1020</v>
      </c>
      <c r="N35" s="12">
        <f t="shared" si="17"/>
        <v>12240</v>
      </c>
    </row>
    <row r="36" spans="1:14" ht="26.4" customHeight="1" thickBot="1" x14ac:dyDescent="0.3">
      <c r="A36" s="3" t="s">
        <v>14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14288.4</v>
      </c>
      <c r="L36" s="12">
        <v>0</v>
      </c>
      <c r="M36" s="12">
        <v>0</v>
      </c>
      <c r="N36" s="12">
        <f t="shared" si="17"/>
        <v>14288.4</v>
      </c>
    </row>
    <row r="37" spans="1:14" ht="25.8" customHeight="1" thickBot="1" x14ac:dyDescent="0.3">
      <c r="A37" s="3" t="s">
        <v>10</v>
      </c>
      <c r="B37" s="12">
        <v>0</v>
      </c>
      <c r="C37" s="12">
        <f>4436.8+146600</f>
        <v>151036.79999999999</v>
      </c>
      <c r="D37" s="12">
        <v>0</v>
      </c>
      <c r="E37" s="12">
        <f>2946.1+1169.3</f>
        <v>4115.3999999999996</v>
      </c>
      <c r="F37" s="12">
        <f>1041.9+1281.9+2600</f>
        <v>4923.8</v>
      </c>
      <c r="G37" s="12">
        <f>949.3</f>
        <v>949.3</v>
      </c>
      <c r="H37" s="12">
        <f>564.2+4476.8</f>
        <v>5041</v>
      </c>
      <c r="I37" s="12">
        <f>170+2798+7476.1+1319.3+26698.5</f>
        <v>38461.9</v>
      </c>
      <c r="J37" s="12">
        <f>1518.3+6737.3</f>
        <v>8255.6</v>
      </c>
      <c r="K37" s="12">
        <f>85+18000+1315.5</f>
        <v>19400.5</v>
      </c>
      <c r="L37" s="12">
        <f>180+54450</f>
        <v>54630</v>
      </c>
      <c r="M37" s="12">
        <f>105+723.1</f>
        <v>828.1</v>
      </c>
      <c r="N37" s="12">
        <f t="shared" si="17"/>
        <v>287642.39999999991</v>
      </c>
    </row>
    <row r="38" spans="1:14" ht="22.5" customHeight="1" thickBot="1" x14ac:dyDescent="0.3">
      <c r="A38" s="10" t="s">
        <v>23</v>
      </c>
      <c r="B38" s="11">
        <f t="shared" ref="B38:M38" si="23">SUM(B24:B37)</f>
        <v>43957.849779999997</v>
      </c>
      <c r="C38" s="11">
        <f t="shared" si="23"/>
        <v>195004.89547999998</v>
      </c>
      <c r="D38" s="11">
        <f t="shared" si="23"/>
        <v>54026.515259999993</v>
      </c>
      <c r="E38" s="11">
        <f t="shared" si="23"/>
        <v>48247.828549999998</v>
      </c>
      <c r="F38" s="11">
        <f t="shared" si="23"/>
        <v>50545.027979999999</v>
      </c>
      <c r="G38" s="11">
        <f t="shared" si="23"/>
        <v>48441.139719999999</v>
      </c>
      <c r="H38" s="11">
        <f t="shared" si="23"/>
        <v>53580.886509999997</v>
      </c>
      <c r="I38" s="11">
        <f t="shared" si="23"/>
        <v>87078.468709999986</v>
      </c>
      <c r="J38" s="11">
        <f t="shared" si="23"/>
        <v>57732.803099999997</v>
      </c>
      <c r="K38" s="11">
        <f t="shared" si="23"/>
        <v>101189.11747999999</v>
      </c>
      <c r="L38" s="11">
        <f t="shared" si="23"/>
        <v>108749.69331</v>
      </c>
      <c r="M38" s="11">
        <f t="shared" si="23"/>
        <v>55538.834510000001</v>
      </c>
      <c r="N38" s="11">
        <f>SUM(B38:M38)</f>
        <v>904093.06038999988</v>
      </c>
    </row>
    <row r="39" spans="1:14" ht="23.25" customHeight="1" thickBot="1" x14ac:dyDescent="0.3">
      <c r="A39" s="3" t="s">
        <v>5</v>
      </c>
      <c r="B39" s="16">
        <f t="shared" ref="B39:N39" si="24">B15-B38</f>
        <v>13123.230219999998</v>
      </c>
      <c r="C39" s="16">
        <f t="shared" si="24"/>
        <v>-137845.62547999999</v>
      </c>
      <c r="D39" s="16">
        <f t="shared" si="24"/>
        <v>5521.1047400000025</v>
      </c>
      <c r="E39" s="16">
        <f t="shared" si="24"/>
        <v>6990.1014500000019</v>
      </c>
      <c r="F39" s="16">
        <f t="shared" si="24"/>
        <v>15931.992020000005</v>
      </c>
      <c r="G39" s="16">
        <f t="shared" si="24"/>
        <v>11080.470280000009</v>
      </c>
      <c r="H39" s="16">
        <f t="shared" si="24"/>
        <v>5958.8434900000066</v>
      </c>
      <c r="I39" s="16">
        <f t="shared" si="24"/>
        <v>-26029.588709999989</v>
      </c>
      <c r="J39" s="16">
        <f t="shared" si="24"/>
        <v>1837.1669000000038</v>
      </c>
      <c r="K39" s="16">
        <f t="shared" si="24"/>
        <v>-45674.457479999983</v>
      </c>
      <c r="L39" s="16">
        <f t="shared" si="24"/>
        <v>-42981.963309999992</v>
      </c>
      <c r="M39" s="16">
        <f t="shared" si="24"/>
        <v>28414.25549000001</v>
      </c>
      <c r="N39" s="12">
        <f t="shared" si="24"/>
        <v>-163674.47038999991</v>
      </c>
    </row>
    <row r="40" spans="1:14" ht="23.25" customHeight="1" thickBot="1" x14ac:dyDescent="0.3">
      <c r="A40" s="3" t="s">
        <v>7</v>
      </c>
      <c r="B40" s="17">
        <f t="shared" ref="B40:M40" si="25">B5+B39</f>
        <v>99848.310219999999</v>
      </c>
      <c r="C40" s="17">
        <f t="shared" si="25"/>
        <v>-37997.315259999988</v>
      </c>
      <c r="D40" s="17">
        <f t="shared" si="25"/>
        <v>-32476.210519999986</v>
      </c>
      <c r="E40" s="17">
        <f t="shared" si="25"/>
        <v>-25486.109069999984</v>
      </c>
      <c r="F40" s="17">
        <f t="shared" si="25"/>
        <v>-9554.1170499999789</v>
      </c>
      <c r="G40" s="17">
        <f t="shared" si="25"/>
        <v>1526.3532300000297</v>
      </c>
      <c r="H40" s="17">
        <f t="shared" si="25"/>
        <v>7485.1967200000363</v>
      </c>
      <c r="I40" s="17">
        <f t="shared" si="25"/>
        <v>-18544.391989999953</v>
      </c>
      <c r="J40" s="17">
        <f t="shared" si="25"/>
        <v>-16707.225089999949</v>
      </c>
      <c r="K40" s="17">
        <f t="shared" si="25"/>
        <v>-62381.682569999932</v>
      </c>
      <c r="L40" s="17">
        <f t="shared" si="25"/>
        <v>-105363.64587999992</v>
      </c>
      <c r="M40" s="17">
        <f t="shared" si="25"/>
        <v>-76949.390389999913</v>
      </c>
      <c r="N40" s="16">
        <f>N5-N38+N15</f>
        <v>-76949.390389999957</v>
      </c>
    </row>
    <row r="41" spans="1:14" ht="27" customHeight="1" thickBot="1" x14ac:dyDescent="0.3">
      <c r="A41" s="4" t="s">
        <v>11</v>
      </c>
      <c r="B41" s="18">
        <f>B6+B15-B7</f>
        <v>-105390.41</v>
      </c>
      <c r="C41" s="18">
        <f t="shared" ref="C41:N41" si="26">C6+C15-C7</f>
        <v>-108958.20000000001</v>
      </c>
      <c r="D41" s="18">
        <f t="shared" si="26"/>
        <v>-110145.00000000003</v>
      </c>
      <c r="E41" s="18">
        <f t="shared" si="26"/>
        <v>-125628.62000000002</v>
      </c>
      <c r="F41" s="18">
        <f t="shared" si="26"/>
        <v>-119878.66000000003</v>
      </c>
      <c r="G41" s="18">
        <f t="shared" si="26"/>
        <v>-122465.59000000003</v>
      </c>
      <c r="H41" s="18">
        <f t="shared" si="26"/>
        <v>-127081.93000000002</v>
      </c>
      <c r="I41" s="18">
        <f t="shared" si="26"/>
        <v>-126459.02000000002</v>
      </c>
      <c r="J41" s="18">
        <f t="shared" si="26"/>
        <v>-127432.05000000002</v>
      </c>
      <c r="K41" s="18">
        <f t="shared" si="26"/>
        <v>-144846.54999999999</v>
      </c>
      <c r="L41" s="18">
        <f t="shared" si="26"/>
        <v>-168147.49</v>
      </c>
      <c r="M41" s="18">
        <f t="shared" si="26"/>
        <v>-159157.87</v>
      </c>
      <c r="N41" s="19">
        <f t="shared" si="26"/>
        <v>-159157.87000000023</v>
      </c>
    </row>
  </sheetData>
  <mergeCells count="2">
    <mergeCell ref="A1:N1"/>
    <mergeCell ref="B23:N23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2023-03-02T04:14:43Z</cp:lastPrinted>
  <dcterms:created xsi:type="dcterms:W3CDTF">2011-06-06T03:25:48Z</dcterms:created>
  <dcterms:modified xsi:type="dcterms:W3CDTF">2023-03-02T04:21:19Z</dcterms:modified>
</cp:coreProperties>
</file>