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21" i="1" l="1"/>
  <c r="M20" i="1"/>
  <c r="M23" i="1"/>
  <c r="M12" i="1"/>
  <c r="M11" i="1"/>
  <c r="M14" i="1"/>
  <c r="M18" i="1"/>
  <c r="M9" i="1"/>
  <c r="L21" i="1"/>
  <c r="L20" i="1"/>
  <c r="L23" i="1"/>
  <c r="L12" i="1"/>
  <c r="L11" i="1"/>
  <c r="L14" i="1"/>
  <c r="L18" i="1"/>
  <c r="L9" i="1"/>
  <c r="K21" i="1"/>
  <c r="K20" i="1"/>
  <c r="K23" i="1"/>
  <c r="K11" i="1"/>
  <c r="K14" i="1"/>
  <c r="K18" i="1"/>
  <c r="K9" i="1"/>
  <c r="M37" i="1" l="1"/>
  <c r="L37" i="1" l="1"/>
  <c r="K37" i="1" l="1"/>
  <c r="M39" i="1" l="1"/>
  <c r="M31" i="1" l="1"/>
  <c r="K31" i="1"/>
  <c r="D6" i="1" l="1"/>
  <c r="D5" i="1"/>
  <c r="C43" i="1"/>
  <c r="C42" i="1"/>
  <c r="C41" i="1"/>
  <c r="D41" i="1"/>
  <c r="E41" i="1"/>
  <c r="F41" i="1"/>
  <c r="G41" i="1"/>
  <c r="H41" i="1"/>
  <c r="I41" i="1"/>
  <c r="J41" i="1"/>
  <c r="D40" i="1"/>
  <c r="E40" i="1"/>
  <c r="F40" i="1"/>
  <c r="G40" i="1"/>
  <c r="H40" i="1"/>
  <c r="I40" i="1"/>
  <c r="J40" i="1"/>
  <c r="K40" i="1"/>
  <c r="L40" i="1"/>
  <c r="M40" i="1"/>
  <c r="C40" i="1"/>
  <c r="N40" i="1" l="1"/>
  <c r="L39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M26" i="1"/>
  <c r="L26" i="1"/>
  <c r="K26" i="1"/>
  <c r="C7" i="1" l="1"/>
  <c r="D7" i="1"/>
  <c r="E7" i="1"/>
  <c r="F7" i="1"/>
  <c r="G7" i="1"/>
  <c r="H7" i="1"/>
  <c r="I7" i="1"/>
  <c r="J7" i="1"/>
  <c r="B7" i="1"/>
  <c r="C6" i="1"/>
  <c r="D42" i="1"/>
  <c r="E5" i="1" s="1"/>
  <c r="B40" i="1"/>
  <c r="J39" i="1" l="1"/>
  <c r="J20" i="1" l="1"/>
  <c r="J23" i="1"/>
  <c r="J12" i="1"/>
  <c r="J11" i="1"/>
  <c r="J14" i="1"/>
  <c r="J18" i="1"/>
  <c r="J9" i="1"/>
  <c r="I20" i="1"/>
  <c r="I23" i="1"/>
  <c r="I11" i="1"/>
  <c r="I14" i="1"/>
  <c r="I9" i="1"/>
  <c r="H19" i="1"/>
  <c r="H20" i="1"/>
  <c r="H23" i="1"/>
  <c r="H11" i="1"/>
  <c r="H14" i="1"/>
  <c r="H18" i="1"/>
  <c r="H9" i="1"/>
  <c r="I30" i="1" l="1"/>
  <c r="J30" i="1"/>
  <c r="H30" i="1"/>
  <c r="J29" i="1" l="1"/>
  <c r="J17" i="1"/>
  <c r="J28" i="1"/>
  <c r="J8" i="1"/>
  <c r="H35" i="1"/>
  <c r="I35" i="1"/>
  <c r="J35" i="1"/>
  <c r="H27" i="1"/>
  <c r="I27" i="1"/>
  <c r="J27" i="1"/>
  <c r="H26" i="1"/>
  <c r="I26" i="1"/>
  <c r="J26" i="1"/>
  <c r="I29" i="1" l="1"/>
  <c r="I17" i="1"/>
  <c r="I28" i="1"/>
  <c r="I8" i="1"/>
  <c r="H39" i="1" l="1"/>
  <c r="H29" i="1" l="1"/>
  <c r="H17" i="1"/>
  <c r="H28" i="1"/>
  <c r="H8" i="1"/>
  <c r="G19" i="1" l="1"/>
  <c r="G20" i="1"/>
  <c r="G23" i="1"/>
  <c r="G10" i="1"/>
  <c r="G11" i="1"/>
  <c r="G14" i="1"/>
  <c r="G18" i="1"/>
  <c r="G9" i="1"/>
  <c r="F19" i="1"/>
  <c r="F21" i="1"/>
  <c r="F20" i="1"/>
  <c r="F23" i="1"/>
  <c r="F10" i="1"/>
  <c r="F11" i="1"/>
  <c r="F14" i="1"/>
  <c r="F18" i="1"/>
  <c r="F9" i="1"/>
  <c r="E19" i="1"/>
  <c r="E21" i="1"/>
  <c r="E20" i="1"/>
  <c r="E23" i="1"/>
  <c r="E12" i="1"/>
  <c r="E11" i="1"/>
  <c r="E14" i="1"/>
  <c r="E18" i="1"/>
  <c r="E9" i="1"/>
  <c r="G39" i="1" l="1"/>
  <c r="F39" i="1" l="1"/>
  <c r="F31" i="1" l="1"/>
  <c r="E31" i="1"/>
  <c r="F37" i="1" l="1"/>
  <c r="E37" i="1" l="1"/>
  <c r="G29" i="1" l="1"/>
  <c r="G17" i="1"/>
  <c r="G28" i="1"/>
  <c r="G8" i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22" i="1" l="1"/>
  <c r="D19" i="1"/>
  <c r="D21" i="1"/>
  <c r="D20" i="1"/>
  <c r="D23" i="1"/>
  <c r="D10" i="1"/>
  <c r="D12" i="1"/>
  <c r="D11" i="1"/>
  <c r="D14" i="1"/>
  <c r="D18" i="1"/>
  <c r="D9" i="1"/>
  <c r="C22" i="1"/>
  <c r="C19" i="1"/>
  <c r="C20" i="1"/>
  <c r="C23" i="1"/>
  <c r="C13" i="1"/>
  <c r="C10" i="1"/>
  <c r="C12" i="1"/>
  <c r="C11" i="1"/>
  <c r="C14" i="1"/>
  <c r="C9" i="1"/>
  <c r="B22" i="1"/>
  <c r="B19" i="1"/>
  <c r="B20" i="1"/>
  <c r="B23" i="1"/>
  <c r="B13" i="1"/>
  <c r="B10" i="1"/>
  <c r="B11" i="1"/>
  <c r="B14" i="1"/>
  <c r="B9" i="1"/>
  <c r="D37" i="1" l="1"/>
  <c r="C37" i="1" l="1"/>
  <c r="B37" i="1" l="1"/>
  <c r="C31" i="1" l="1"/>
  <c r="B31" i="1"/>
  <c r="B39" i="1" l="1"/>
  <c r="C39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B16" i="1" l="1"/>
  <c r="C16" i="1"/>
  <c r="D16" i="1"/>
  <c r="E16" i="1"/>
  <c r="F16" i="1"/>
  <c r="G16" i="1"/>
  <c r="H16" i="1"/>
  <c r="I16" i="1"/>
  <c r="B41" i="1" l="1"/>
  <c r="B42" i="1" s="1"/>
  <c r="C5" i="1" s="1"/>
  <c r="B43" i="1"/>
  <c r="D43" i="1" s="1"/>
  <c r="E6" i="1" s="1"/>
  <c r="E43" i="1" l="1"/>
  <c r="F6" i="1" s="1"/>
  <c r="F43" i="1" l="1"/>
  <c r="G6" i="1" s="1"/>
  <c r="E42" i="1"/>
  <c r="F5" i="1" s="1"/>
  <c r="N38" i="1"/>
  <c r="G43" i="1" l="1"/>
  <c r="H6" i="1" s="1"/>
  <c r="F42" i="1"/>
  <c r="G5" i="1" s="1"/>
  <c r="N15" i="1"/>
  <c r="H43" i="1" l="1"/>
  <c r="I6" i="1" s="1"/>
  <c r="G42" i="1"/>
  <c r="H5" i="1" s="1"/>
  <c r="N39" i="1"/>
  <c r="I43" i="1" l="1"/>
  <c r="J6" i="1" s="1"/>
  <c r="H42" i="1"/>
  <c r="I5" i="1" s="1"/>
  <c r="N6" i="1"/>
  <c r="N5" i="1"/>
  <c r="J43" i="1" l="1"/>
  <c r="K6" i="1" s="1"/>
  <c r="I42" i="1"/>
  <c r="J5" i="1" s="1"/>
  <c r="K16" i="1"/>
  <c r="K7" i="1"/>
  <c r="N26" i="1"/>
  <c r="N27" i="1"/>
  <c r="N30" i="1"/>
  <c r="N31" i="1"/>
  <c r="N32" i="1"/>
  <c r="N33" i="1"/>
  <c r="N34" i="1"/>
  <c r="N35" i="1"/>
  <c r="N36" i="1"/>
  <c r="N24" i="1"/>
  <c r="L16" i="1"/>
  <c r="L41" i="1" s="1"/>
  <c r="M16" i="1"/>
  <c r="M41" i="1" s="1"/>
  <c r="M7" i="1"/>
  <c r="N13" i="1"/>
  <c r="N16" i="1" l="1"/>
  <c r="N41" i="1" s="1"/>
  <c r="N42" i="1" s="1"/>
  <c r="K41" i="1"/>
  <c r="J42" i="1"/>
  <c r="K5" i="1" s="1"/>
  <c r="L7" i="1"/>
  <c r="N7" i="1" s="1"/>
  <c r="N43" i="1" l="1"/>
  <c r="J16" i="1"/>
  <c r="N12" i="1"/>
  <c r="N29" i="1"/>
  <c r="N23" i="1"/>
  <c r="N22" i="1"/>
  <c r="N21" i="1"/>
  <c r="N20" i="1"/>
  <c r="N19" i="1"/>
  <c r="N8" i="1"/>
  <c r="N9" i="1"/>
  <c r="N14" i="1"/>
  <c r="N10" i="1"/>
  <c r="N11" i="1" l="1"/>
  <c r="N17" i="1"/>
  <c r="N18" i="1"/>
  <c r="N28" i="1"/>
  <c r="N37" i="1" l="1"/>
  <c r="K42" i="1" l="1"/>
  <c r="L5" i="1" s="1"/>
  <c r="L42" i="1" l="1"/>
  <c r="M5" i="1" s="1"/>
  <c r="K43" i="1"/>
  <c r="L6" i="1" s="1"/>
  <c r="L43" i="1" l="1"/>
  <c r="M6" i="1" s="1"/>
  <c r="M42" i="1"/>
  <c r="M43" i="1" l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<sst xmlns="http://schemas.openxmlformats.org/spreadsheetml/2006/main" count="54" uniqueCount="45">
  <si>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</si>
  <si>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</si>
  <si>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</si>
  <si>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</si>
  <si>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</si>
  <si>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</si>
  <si>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</si>
  <si>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</si>
  <si>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</si>
  <si>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</si>
  <si>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</si>
  <si>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</si>
  <si>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</si>
  <si>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</si>
  <si>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</si>
  <si>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</si>
  <si>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</si>
  <si>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</si>
  <si>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</si>
  <si>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</si>
  <si>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</si>
  <si>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</si>
  <si>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</si>
  <si>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</si>
  <si>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</si>
  <si>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</si>
  <si>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</si>
  <si>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</si>
  <si>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</si>
  <si>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</si>
  <si>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</si>
  <si>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</si>
  <si>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</si>
  <si>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</si>
  <si>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</si>
  <si>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</si>
  <si>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</si>
  <si>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</si>
  <si>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</si>
  <si>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</si>
  <si>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</t>
  </si>
  <si>
    <t>Декабрь 2022г.</t>
  </si>
  <si>
    <t>Всего:                       за  2022г</t>
  </si>
  <si>
    <t xml:space="preserve">                 ОТЧЕТ по дому Липового, 72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</si>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</sst>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8" zoomScale="75" workbookViewId="0">
      <selection activeCell="A34" sqref="A34"/>
    </sheetView>
  </sheetViews>
  <sheetFormatPr defaultRowHeight="13.2" x14ac:dyDescent="0.25"/>
  <cols>
    <col min="1" max="1" width="58.6640625" customWidth="1"/>
    <col min="2" max="2" width="16.5546875" customWidth="1"/>
    <col min="3" max="3" width="14.5546875" customWidth="1"/>
    <col min="4" max="4" width="14" customWidth="1"/>
    <col min="5" max="5" width="14.109375" customWidth="1"/>
    <col min="6" max="6" width="13.88671875" customWidth="1"/>
    <col min="7" max="7" width="13.33203125" customWidth="1"/>
    <col min="8" max="8" width="13.5546875" customWidth="1"/>
    <col min="9" max="13" width="14.109375" customWidth="1"/>
    <col min="14" max="14" width="15.88671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-393437.88</v>
      </c>
      <c r="C5" s="8">
        <f t="shared" ref="C5:C6" si="0">B42</f>
        <v>-513969.42836999998</v>
      </c>
      <c r="D5" s="8">
        <f t="shared" ref="D5:D6" si="1">C42</f>
        <v>-502505.73439999996</v>
      </c>
      <c r="E5" s="8">
        <f t="shared" ref="E5:E6" si="2">D42</f>
        <v>-477067.64599999995</v>
      </c>
      <c r="F5" s="8">
        <f t="shared" ref="F5:F6" si="3">E42</f>
        <v>-456662.90667999996</v>
      </c>
      <c r="G5" s="8">
        <f t="shared" ref="G5:G6" si="4">F42</f>
        <v>-450973.54566999996</v>
      </c>
      <c r="H5" s="8">
        <f t="shared" ref="H5:H6" si="5">G42</f>
        <v>-449303.66305999993</v>
      </c>
      <c r="I5" s="8">
        <f t="shared" ref="I5:I6" si="6">H42</f>
        <v>-450994.33537999995</v>
      </c>
      <c r="J5" s="8">
        <f t="shared" ref="J5:J6" si="7">I42</f>
        <v>-442277.72664999997</v>
      </c>
      <c r="K5" s="8">
        <f t="shared" ref="K5:K6" si="8">J42</f>
        <v>-440653.11263999995</v>
      </c>
      <c r="L5" s="8">
        <f t="shared" ref="L5:L6" si="9">K42</f>
        <v>-427744.58837999997</v>
      </c>
      <c r="M5" s="8">
        <f t="shared" ref="M5:M6" si="10">L42</f>
        <v>-456104.19565999997</v>
      </c>
      <c r="N5" s="8">
        <f>B5</f>
        <v>-393437.88</v>
      </c>
    </row>
    <row r="6" spans="1:18" ht="21" customHeight="1" thickBot="1" x14ac:dyDescent="0.3">
      <c r="A6" s="7" t="s">
        <v>13</v>
      </c>
      <c r="B6" s="8">
        <v>-90900.1</v>
      </c>
      <c r="C6" s="8">
        <f t="shared" si="0"/>
        <v>-104555.43</v>
      </c>
      <c r="D6" s="8">
        <f t="shared" si="1"/>
        <v>-108340.34</v>
      </c>
      <c r="E6" s="8">
        <f t="shared" si="2"/>
        <v>-99703.75</v>
      </c>
      <c r="F6" s="8">
        <f t="shared" si="3"/>
        <v>-101991.95</v>
      </c>
      <c r="G6" s="8">
        <f t="shared" si="4"/>
        <v>-99632.28</v>
      </c>
      <c r="H6" s="8">
        <f t="shared" si="5"/>
        <v>-103720.66999999998</v>
      </c>
      <c r="I6" s="8">
        <f t="shared" si="6"/>
        <v>-101409.56</v>
      </c>
      <c r="J6" s="8">
        <f t="shared" si="7"/>
        <v>-107617.66</v>
      </c>
      <c r="K6" s="8">
        <f t="shared" si="8"/>
        <v>-107928.34700000001</v>
      </c>
      <c r="L6" s="8">
        <f t="shared" si="9"/>
        <v>-107414.99700000003</v>
      </c>
      <c r="M6" s="8">
        <f t="shared" si="10"/>
        <v>-112659.13700000005</v>
      </c>
      <c r="N6" s="8">
        <f>B6</f>
        <v>-90900.1</v>
      </c>
    </row>
    <row r="7" spans="1:18" ht="20.25" customHeight="1" thickBot="1" x14ac:dyDescent="0.3">
      <c r="A7" s="9" t="s">
        <v>12</v>
      </c>
      <c r="B7" s="10">
        <f>SUM(B8:B15)</f>
        <v>76596.53</v>
      </c>
      <c r="C7" s="10">
        <f t="shared" ref="C7:J7" si="11">SUM(C8:C15)</f>
        <v>77410.209999999992</v>
      </c>
      <c r="D7" s="10">
        <f t="shared" si="11"/>
        <v>74760.7</v>
      </c>
      <c r="E7" s="10">
        <f t="shared" si="11"/>
        <v>73265.570000000007</v>
      </c>
      <c r="F7" s="10">
        <f t="shared" si="11"/>
        <v>67862.97</v>
      </c>
      <c r="G7" s="10">
        <f t="shared" si="11"/>
        <v>73519.739999999991</v>
      </c>
      <c r="H7" s="10">
        <f t="shared" si="11"/>
        <v>66824.67</v>
      </c>
      <c r="I7" s="10">
        <f t="shared" si="11"/>
        <v>66993.260000000009</v>
      </c>
      <c r="J7" s="10">
        <f t="shared" si="11"/>
        <v>69177.430000000008</v>
      </c>
      <c r="K7" s="10">
        <f t="shared" ref="K7:M7" si="12">SUM(K8:K15)</f>
        <v>66914.560000000012</v>
      </c>
      <c r="L7" s="10">
        <f t="shared" si="12"/>
        <v>71362.190000000017</v>
      </c>
      <c r="M7" s="10">
        <f t="shared" si="12"/>
        <v>69178.100000000006</v>
      </c>
      <c r="N7" s="10">
        <f>SUM(B7:M7)</f>
        <v>853865.93</v>
      </c>
    </row>
    <row r="8" spans="1:18" ht="24.75" customHeight="1" thickBot="1" x14ac:dyDescent="0.3">
      <c r="A8" s="4" t="s">
        <v>28</v>
      </c>
      <c r="B8" s="11">
        <f t="shared" ref="B8:G8" si="13">51596.4+360.63+971.07</f>
        <v>52928.1</v>
      </c>
      <c r="C8" s="11">
        <f t="shared" si="13"/>
        <v>52928.1</v>
      </c>
      <c r="D8" s="11">
        <f t="shared" si="13"/>
        <v>52928.1</v>
      </c>
      <c r="E8" s="11">
        <f t="shared" si="13"/>
        <v>52928.1</v>
      </c>
      <c r="F8" s="11">
        <f t="shared" si="13"/>
        <v>52928.1</v>
      </c>
      <c r="G8" s="11">
        <f t="shared" si="13"/>
        <v>52928.1</v>
      </c>
      <c r="H8" s="11">
        <f>51596.4+360.63+971.07</f>
        <v>52928.1</v>
      </c>
      <c r="I8" s="11">
        <f>51596.4-350.72+2781.9-944.36</f>
        <v>53083.22</v>
      </c>
      <c r="J8" s="11">
        <f>51596.4+1486.82</f>
        <v>53083.22</v>
      </c>
      <c r="K8" s="11">
        <f>51596.4+1486.82</f>
        <v>53083.22</v>
      </c>
      <c r="L8" s="11">
        <f>51596.4+1486.82</f>
        <v>53083.22</v>
      </c>
      <c r="M8" s="11">
        <f>51596.4+1486.82</f>
        <v>53083.22</v>
      </c>
      <c r="N8" s="11">
        <f t="shared" ref="N8:N24" si="14">SUM(B8:M8)</f>
        <v>635912.79999999981</v>
      </c>
    </row>
    <row r="9" spans="1:18" ht="24.75" customHeight="1" thickBot="1" x14ac:dyDescent="0.3">
      <c r="A9" s="4" t="s">
        <v>17</v>
      </c>
      <c r="B9" s="11">
        <f t="shared" ref="B9:G9" si="15">8591.34+4125.48</f>
        <v>12716.82</v>
      </c>
      <c r="C9" s="11">
        <f t="shared" si="15"/>
        <v>12716.82</v>
      </c>
      <c r="D9" s="11">
        <f t="shared" si="15"/>
        <v>12716.82</v>
      </c>
      <c r="E9" s="11">
        <f t="shared" si="15"/>
        <v>12716.82</v>
      </c>
      <c r="F9" s="11">
        <f t="shared" si="15"/>
        <v>12716.82</v>
      </c>
      <c r="G9" s="11">
        <f t="shared" si="15"/>
        <v>12716.82</v>
      </c>
      <c r="H9" s="11">
        <f>4125.48+8591.34</f>
        <v>12716.82</v>
      </c>
      <c r="I9" s="11">
        <f>4125.48+8591.34</f>
        <v>12716.82</v>
      </c>
      <c r="J9" s="11">
        <f>4125.48+8591.34</f>
        <v>12716.82</v>
      </c>
      <c r="K9" s="11">
        <f>8591.34+4125.48</f>
        <v>12716.82</v>
      </c>
      <c r="L9" s="11">
        <f>8591.34+4125.48</f>
        <v>12716.82</v>
      </c>
      <c r="M9" s="11">
        <f>8591.34+4125.48</f>
        <v>12716.82</v>
      </c>
      <c r="N9" s="11">
        <f t="shared" si="14"/>
        <v>152601.84000000003</v>
      </c>
    </row>
    <row r="10" spans="1:18" ht="24.75" customHeight="1" thickBot="1" x14ac:dyDescent="0.3">
      <c r="A10" s="4" t="s">
        <v>18</v>
      </c>
      <c r="B10" s="11">
        <f>2848.45+475.76+228.45</f>
        <v>3552.66</v>
      </c>
      <c r="C10" s="11">
        <f>3075.26+512.71+246.2</f>
        <v>3834.17</v>
      </c>
      <c r="D10" s="11">
        <f>4612.2+766.75+368.19</f>
        <v>5747.1399999999994</v>
      </c>
      <c r="E10" s="11">
        <v>0</v>
      </c>
      <c r="F10" s="11">
        <f>833.19+138.57+66.54</f>
        <v>1038.3</v>
      </c>
      <c r="G10" s="11">
        <f>5368.69+896.09+430.29</f>
        <v>6695.07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f t="shared" si="14"/>
        <v>20868.339999999997</v>
      </c>
    </row>
    <row r="11" spans="1:18" ht="24.75" customHeight="1" thickBot="1" x14ac:dyDescent="0.3">
      <c r="A11" s="4" t="s">
        <v>19</v>
      </c>
      <c r="B11" s="11">
        <f>174.6+27.71+13.31</f>
        <v>215.62</v>
      </c>
      <c r="C11" s="11">
        <f>174.6+27.71+13.31</f>
        <v>215.62</v>
      </c>
      <c r="D11" s="11">
        <f>174.6+27.71+13.31</f>
        <v>215.62</v>
      </c>
      <c r="E11" s="11">
        <f>174.6+27.11+13.31</f>
        <v>215.01999999999998</v>
      </c>
      <c r="F11" s="11">
        <f>174.6+27.71+13.31</f>
        <v>215.62</v>
      </c>
      <c r="G11" s="11">
        <f>174.6+27.71+13.31</f>
        <v>215.62</v>
      </c>
      <c r="H11" s="11">
        <f>174.6+13.31+27.71</f>
        <v>215.62</v>
      </c>
      <c r="I11" s="11">
        <f>181.23+15.53+32.33</f>
        <v>229.08999999999997</v>
      </c>
      <c r="J11" s="11">
        <f>181.23+15.53+32.33</f>
        <v>229.08999999999997</v>
      </c>
      <c r="K11" s="11">
        <f>120.82+18.48+11.09</f>
        <v>150.38999999999999</v>
      </c>
      <c r="L11" s="11">
        <f>120.82+18.48+8.87</f>
        <v>148.16999999999999</v>
      </c>
      <c r="M11" s="11">
        <f>120.82+18.48+8.87</f>
        <v>148.16999999999999</v>
      </c>
      <c r="N11" s="11">
        <f t="shared" si="14"/>
        <v>2413.6499999999996</v>
      </c>
    </row>
    <row r="12" spans="1:18" ht="24.75" customHeight="1" thickBot="1" x14ac:dyDescent="0.3">
      <c r="A12" s="4" t="s">
        <v>20</v>
      </c>
      <c r="B12" s="11">
        <v>0</v>
      </c>
      <c r="C12" s="11">
        <f>429.61+69.29+33.27</f>
        <v>532.17000000000007</v>
      </c>
      <c r="D12" s="11">
        <f>1758.16+291+139.73</f>
        <v>2188.89</v>
      </c>
      <c r="E12" s="11">
        <f>5169.82+859.13+412.55</f>
        <v>6441.5</v>
      </c>
      <c r="F12" s="11">
        <v>0</v>
      </c>
      <c r="G12" s="11">
        <v>0</v>
      </c>
      <c r="H12" s="11">
        <v>0</v>
      </c>
      <c r="I12" s="11">
        <v>0</v>
      </c>
      <c r="J12" s="11">
        <f>1753.44+139.73+291</f>
        <v>2184.17</v>
      </c>
      <c r="K12" s="11">
        <v>0</v>
      </c>
      <c r="L12" s="11">
        <f>3566.88+595.85+286.12</f>
        <v>4448.8500000000004</v>
      </c>
      <c r="M12" s="11">
        <f>1738.37+291+139.73</f>
        <v>2169.1</v>
      </c>
      <c r="N12" s="11">
        <f t="shared" si="14"/>
        <v>17964.68</v>
      </c>
    </row>
    <row r="13" spans="1:18" ht="24.75" customHeight="1" thickBot="1" x14ac:dyDescent="0.3">
      <c r="A13" s="4" t="s">
        <v>44</v>
      </c>
      <c r="B13" s="11">
        <f>6019.2+100+100</f>
        <v>6219.2</v>
      </c>
      <c r="C13" s="11">
        <f>6019.2+100+100</f>
        <v>6219.2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 t="shared" si="14"/>
        <v>12438.4</v>
      </c>
    </row>
    <row r="14" spans="1:18" ht="24.75" customHeight="1" thickBot="1" x14ac:dyDescent="0.3">
      <c r="A14" s="4" t="s">
        <v>27</v>
      </c>
      <c r="B14" s="11">
        <f t="shared" ref="B14:G14" si="16">239.44+36.95+17.74</f>
        <v>294.13</v>
      </c>
      <c r="C14" s="11">
        <f t="shared" si="16"/>
        <v>294.13</v>
      </c>
      <c r="D14" s="11">
        <f t="shared" si="16"/>
        <v>294.13</v>
      </c>
      <c r="E14" s="11">
        <f t="shared" si="16"/>
        <v>294.13</v>
      </c>
      <c r="F14" s="11">
        <f t="shared" si="16"/>
        <v>294.13</v>
      </c>
      <c r="G14" s="11">
        <f t="shared" si="16"/>
        <v>294.13</v>
      </c>
      <c r="H14" s="11">
        <f>239.44+17.74+36.95</f>
        <v>294.13</v>
      </c>
      <c r="I14" s="11">
        <f>239.44+17.74+36.95</f>
        <v>294.13</v>
      </c>
      <c r="J14" s="11">
        <f>239.44+17.74+36.95</f>
        <v>294.13</v>
      </c>
      <c r="K14" s="11">
        <f>239.44+36.95+17.74</f>
        <v>294.13</v>
      </c>
      <c r="L14" s="11">
        <f>239.44+36.95+17.74</f>
        <v>294.13</v>
      </c>
      <c r="M14" s="11">
        <f>315.58+50.81+24.4</f>
        <v>390.78999999999996</v>
      </c>
      <c r="N14" s="11">
        <f t="shared" si="14"/>
        <v>3626.2200000000007</v>
      </c>
    </row>
    <row r="15" spans="1:18" ht="24.75" customHeight="1" thickBot="1" x14ac:dyDescent="0.3">
      <c r="A15" s="4" t="s">
        <v>15</v>
      </c>
      <c r="B15" s="11">
        <v>670</v>
      </c>
      <c r="C15" s="11">
        <v>670</v>
      </c>
      <c r="D15" s="11">
        <v>670</v>
      </c>
      <c r="E15" s="11">
        <v>670</v>
      </c>
      <c r="F15" s="11">
        <v>670</v>
      </c>
      <c r="G15" s="11">
        <v>670</v>
      </c>
      <c r="H15" s="11">
        <v>670</v>
      </c>
      <c r="I15" s="11">
        <v>670</v>
      </c>
      <c r="J15" s="11">
        <v>670</v>
      </c>
      <c r="K15" s="11">
        <v>670</v>
      </c>
      <c r="L15" s="11">
        <v>670</v>
      </c>
      <c r="M15" s="11">
        <v>670</v>
      </c>
      <c r="N15" s="11">
        <f t="shared" si="14"/>
        <v>8040</v>
      </c>
    </row>
    <row r="16" spans="1:18" ht="20.25" customHeight="1" thickBot="1" x14ac:dyDescent="0.3">
      <c r="A16" s="12" t="s">
        <v>8</v>
      </c>
      <c r="B16" s="13">
        <f t="shared" ref="B16:M16" si="17">SUM(B17:B24)</f>
        <v>62941.200000000004</v>
      </c>
      <c r="C16" s="13">
        <f t="shared" si="17"/>
        <v>73625.299999999988</v>
      </c>
      <c r="D16" s="13">
        <f t="shared" si="17"/>
        <v>83397.289999999994</v>
      </c>
      <c r="E16" s="13">
        <f t="shared" si="17"/>
        <v>70977.37000000001</v>
      </c>
      <c r="F16" s="13">
        <f t="shared" si="17"/>
        <v>70222.64</v>
      </c>
      <c r="G16" s="13">
        <f t="shared" si="17"/>
        <v>69431.350000000006</v>
      </c>
      <c r="H16" s="13">
        <f t="shared" si="17"/>
        <v>69135.779999999984</v>
      </c>
      <c r="I16" s="13">
        <f t="shared" si="17"/>
        <v>60785.16</v>
      </c>
      <c r="J16" s="13">
        <f t="shared" si="17"/>
        <v>68866.743000000002</v>
      </c>
      <c r="K16" s="13">
        <f t="shared" si="17"/>
        <v>67427.909999999989</v>
      </c>
      <c r="L16" s="13">
        <f t="shared" si="17"/>
        <v>66118.05</v>
      </c>
      <c r="M16" s="13">
        <f t="shared" si="17"/>
        <v>66058.539999999994</v>
      </c>
      <c r="N16" s="13">
        <f>SUM(B16:M16)</f>
        <v>828987.3330000001</v>
      </c>
    </row>
    <row r="17" spans="1:15" ht="24" customHeight="1" thickBot="1" x14ac:dyDescent="0.3">
      <c r="A17" s="4" t="s">
        <v>29</v>
      </c>
      <c r="B17" s="11">
        <f>45222.56+320.04+861.78</f>
        <v>46404.38</v>
      </c>
      <c r="C17" s="11">
        <f>53336.44+382.63+1030.3</f>
        <v>54749.37</v>
      </c>
      <c r="D17" s="11">
        <f>54102.39+372.29+1002.42</f>
        <v>55477.1</v>
      </c>
      <c r="E17" s="11">
        <f>48310.85+341.14+918.64+580.8</f>
        <v>50151.43</v>
      </c>
      <c r="F17" s="11">
        <f>45016.33+320.25+862.35</f>
        <v>46198.93</v>
      </c>
      <c r="G17" s="11">
        <f>52521.47+366.71+987.43+265.2</f>
        <v>54140.81</v>
      </c>
      <c r="H17" s="11">
        <f>48213.97+337.67+909.23</f>
        <v>49460.87</v>
      </c>
      <c r="I17" s="11">
        <f>49779.18+194.74+507.07+524.39</f>
        <v>51005.38</v>
      </c>
      <c r="J17" s="11">
        <f>48588.65+1452.09</f>
        <v>50040.74</v>
      </c>
      <c r="K17" s="11">
        <f>54570.07+1259.35</f>
        <v>55829.42</v>
      </c>
      <c r="L17" s="11">
        <f>51192.17+1186.02</f>
        <v>52378.189999999995</v>
      </c>
      <c r="M17" s="11">
        <f>51328.37+1290.74</f>
        <v>52619.11</v>
      </c>
      <c r="N17" s="11">
        <f t="shared" si="14"/>
        <v>618455.73</v>
      </c>
    </row>
    <row r="18" spans="1:15" ht="26.25" customHeight="1" thickBot="1" x14ac:dyDescent="0.3">
      <c r="A18" s="4" t="s">
        <v>17</v>
      </c>
      <c r="B18" s="11">
        <v>8591.34</v>
      </c>
      <c r="C18" s="11">
        <v>8591.34</v>
      </c>
      <c r="D18" s="11">
        <f>8591.34+4125.48+4125.48</f>
        <v>16842.3</v>
      </c>
      <c r="E18" s="11">
        <f>8591.34+4125.48</f>
        <v>12716.82</v>
      </c>
      <c r="F18" s="11">
        <f>8591.34+8250.96</f>
        <v>16842.3</v>
      </c>
      <c r="G18" s="11">
        <f>8591.34+4125.48</f>
        <v>12716.82</v>
      </c>
      <c r="H18" s="11">
        <f>4125.48+8591.34</f>
        <v>12716.82</v>
      </c>
      <c r="I18" s="11">
        <v>8591.34</v>
      </c>
      <c r="J18" s="11">
        <f>4125.48*2+8591.34</f>
        <v>16842.3</v>
      </c>
      <c r="K18" s="11">
        <f>8591.34</f>
        <v>8591.34</v>
      </c>
      <c r="L18" s="11">
        <f>8591.34+4125.48</f>
        <v>12716.82</v>
      </c>
      <c r="M18" s="11">
        <f>8591.34</f>
        <v>8591.34</v>
      </c>
      <c r="N18" s="11">
        <f t="shared" si="14"/>
        <v>144350.87999999998</v>
      </c>
    </row>
    <row r="19" spans="1:15" ht="26.25" customHeight="1" thickBot="1" x14ac:dyDescent="0.3">
      <c r="A19" s="4" t="s">
        <v>18</v>
      </c>
      <c r="B19" s="11">
        <f>1308.62+258.66</f>
        <v>1567.28</v>
      </c>
      <c r="C19" s="11">
        <f>2688.39+475.76</f>
        <v>3164.1499999999996</v>
      </c>
      <c r="D19" s="11">
        <f>3110.79+512.71+124.21+228.45</f>
        <v>3976.16</v>
      </c>
      <c r="E19" s="11">
        <f>4277.96+766.75+246.2</f>
        <v>5290.91</v>
      </c>
      <c r="F19" s="11">
        <f>1.33+368.19</f>
        <v>369.52</v>
      </c>
      <c r="G19" s="11">
        <f>947.65+138.57+66.54</f>
        <v>1152.76</v>
      </c>
      <c r="H19" s="11">
        <f>4667.55+430.29+896.09</f>
        <v>5993.93</v>
      </c>
      <c r="I19" s="11">
        <v>306.64999999999998</v>
      </c>
      <c r="J19" s="11">
        <v>51.21</v>
      </c>
      <c r="K19" s="11">
        <v>213.47</v>
      </c>
      <c r="L19" s="11">
        <v>0</v>
      </c>
      <c r="M19" s="11">
        <v>79.400000000000006</v>
      </c>
      <c r="N19" s="11">
        <f t="shared" si="14"/>
        <v>22165.440000000002</v>
      </c>
    </row>
    <row r="20" spans="1:15" ht="26.25" customHeight="1" thickBot="1" x14ac:dyDescent="0.3">
      <c r="A20" s="4" t="s">
        <v>19</v>
      </c>
      <c r="B20" s="11">
        <f>7.16+27.71</f>
        <v>34.870000000000005</v>
      </c>
      <c r="C20" s="11">
        <f>7.59+27.71</f>
        <v>35.299999999999997</v>
      </c>
      <c r="D20" s="11">
        <f>73.36+27.71+26.62</f>
        <v>127.69</v>
      </c>
      <c r="E20" s="11">
        <f>162.89+27.71+13.31</f>
        <v>203.91</v>
      </c>
      <c r="F20" s="11">
        <f>152.34+27.71+26.62</f>
        <v>206.67000000000002</v>
      </c>
      <c r="G20" s="11">
        <f>176.44+27.71+13.31</f>
        <v>217.46</v>
      </c>
      <c r="H20" s="11">
        <f>163.27+13.31+27.71</f>
        <v>204.29000000000002</v>
      </c>
      <c r="I20" s="11">
        <f>165+27.71</f>
        <v>192.71</v>
      </c>
      <c r="J20" s="11">
        <f>170.35+13.31+15.53+32.33</f>
        <v>231.51999999999998</v>
      </c>
      <c r="K20" s="11">
        <f>191.17+32.33</f>
        <v>223.5</v>
      </c>
      <c r="L20" s="11">
        <f>118.56+18.48+15.53</f>
        <v>152.57</v>
      </c>
      <c r="M20" s="11">
        <f>125.47+18.48</f>
        <v>143.94999999999999</v>
      </c>
      <c r="N20" s="11">
        <f t="shared" si="14"/>
        <v>1974.44</v>
      </c>
    </row>
    <row r="21" spans="1:15" ht="26.25" customHeight="1" thickBot="1" x14ac:dyDescent="0.3">
      <c r="A21" s="4" t="s">
        <v>20</v>
      </c>
      <c r="B21" s="11">
        <v>0</v>
      </c>
      <c r="C21" s="11">
        <v>46.87</v>
      </c>
      <c r="D21" s="11">
        <f>487.59+69.29</f>
        <v>556.88</v>
      </c>
      <c r="E21" s="11">
        <f>1611.06+291+33.27</f>
        <v>1935.33</v>
      </c>
      <c r="F21" s="11">
        <f>4512.49+859.13+139.73+412.55</f>
        <v>5923.9</v>
      </c>
      <c r="G21" s="11">
        <v>505.23</v>
      </c>
      <c r="H21" s="11">
        <v>81.260000000000005</v>
      </c>
      <c r="I21" s="11">
        <v>21.14</v>
      </c>
      <c r="J21" s="11">
        <v>0</v>
      </c>
      <c r="K21" s="11">
        <f>1588.98+291</f>
        <v>1879.98</v>
      </c>
      <c r="L21" s="11">
        <f>43.35+139.73</f>
        <v>183.07999999999998</v>
      </c>
      <c r="M21" s="11">
        <f>3348.91+595.85</f>
        <v>3944.7599999999998</v>
      </c>
      <c r="N21" s="11">
        <f t="shared" si="14"/>
        <v>15078.429999999998</v>
      </c>
    </row>
    <row r="22" spans="1:15" ht="26.25" customHeight="1" thickBot="1" x14ac:dyDescent="0.3">
      <c r="A22" s="4" t="s">
        <v>44</v>
      </c>
      <c r="B22" s="11">
        <f>5596.55+100</f>
        <v>5696.55</v>
      </c>
      <c r="C22" s="11">
        <f>6261.93+100</f>
        <v>6361.93</v>
      </c>
      <c r="D22" s="11">
        <f>5381.4+100+200</f>
        <v>5681.4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 t="shared" si="14"/>
        <v>17739.879999999997</v>
      </c>
    </row>
    <row r="23" spans="1:15" ht="26.25" customHeight="1" thickBot="1" x14ac:dyDescent="0.3">
      <c r="A23" s="4" t="s">
        <v>27</v>
      </c>
      <c r="B23" s="11">
        <f>209.83+36.95</f>
        <v>246.78000000000003</v>
      </c>
      <c r="C23" s="11">
        <f>239.39+36.95</f>
        <v>276.33999999999997</v>
      </c>
      <c r="D23" s="11">
        <f>263.33+36.95+35.48</f>
        <v>335.76</v>
      </c>
      <c r="E23" s="11">
        <f>224.28+17.74+36.95</f>
        <v>278.97000000000003</v>
      </c>
      <c r="F23" s="11">
        <f>208.89+36.95+35.48</f>
        <v>281.32</v>
      </c>
      <c r="G23" s="11">
        <f>243.58+36.95+17.74</f>
        <v>298.27000000000004</v>
      </c>
      <c r="H23" s="11">
        <f>223.92+17.74+36.95</f>
        <v>278.61</v>
      </c>
      <c r="I23" s="11">
        <f>230.99+36.95</f>
        <v>267.94</v>
      </c>
      <c r="J23" s="11">
        <f>225.48+17.74*36.95</f>
        <v>880.97299999999996</v>
      </c>
      <c r="K23" s="11">
        <f>253.25+36.95</f>
        <v>290.2</v>
      </c>
      <c r="L23" s="11">
        <f>232.7+36.95+17.74</f>
        <v>287.39</v>
      </c>
      <c r="M23" s="11">
        <f>243.03+36.95</f>
        <v>279.98</v>
      </c>
      <c r="N23" s="11">
        <f t="shared" si="14"/>
        <v>4002.5329999999994</v>
      </c>
    </row>
    <row r="24" spans="1:15" ht="26.25" customHeight="1" thickBot="1" x14ac:dyDescent="0.3">
      <c r="A24" s="4" t="s">
        <v>15</v>
      </c>
      <c r="B24" s="14">
        <v>400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400</v>
      </c>
      <c r="I24" s="14">
        <v>400</v>
      </c>
      <c r="J24" s="14">
        <v>820</v>
      </c>
      <c r="K24" s="11">
        <v>400</v>
      </c>
      <c r="L24" s="11">
        <v>400</v>
      </c>
      <c r="M24" s="11">
        <v>400</v>
      </c>
      <c r="N24" s="11">
        <f t="shared" si="14"/>
        <v>5220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K26" si="18">3457.7*0.55</f>
        <v>1901.7350000000001</v>
      </c>
      <c r="C26" s="11">
        <f t="shared" si="18"/>
        <v>1901.7350000000001</v>
      </c>
      <c r="D26" s="11">
        <f t="shared" si="18"/>
        <v>1901.7350000000001</v>
      </c>
      <c r="E26" s="11">
        <f t="shared" si="18"/>
        <v>1901.7350000000001</v>
      </c>
      <c r="F26" s="11">
        <f t="shared" si="18"/>
        <v>1901.7350000000001</v>
      </c>
      <c r="G26" s="11">
        <f t="shared" si="18"/>
        <v>1901.7350000000001</v>
      </c>
      <c r="H26" s="11">
        <f t="shared" si="18"/>
        <v>1901.7350000000001</v>
      </c>
      <c r="I26" s="11">
        <f t="shared" si="18"/>
        <v>1901.7350000000001</v>
      </c>
      <c r="J26" s="11">
        <f t="shared" si="18"/>
        <v>1901.7350000000001</v>
      </c>
      <c r="K26" s="11">
        <f t="shared" si="18"/>
        <v>1901.7350000000001</v>
      </c>
      <c r="L26" s="11">
        <f>3457.7*0.6</f>
        <v>2074.62</v>
      </c>
      <c r="M26" s="11">
        <f>3457.7*0.6</f>
        <v>2074.62</v>
      </c>
      <c r="N26" s="11">
        <f t="shared" ref="N26:N39" si="19">SUM(B26:M26)</f>
        <v>23166.59</v>
      </c>
    </row>
    <row r="27" spans="1:15" ht="22.5" customHeight="1" thickBot="1" x14ac:dyDescent="0.3">
      <c r="A27" s="4" t="s">
        <v>2</v>
      </c>
      <c r="B27" s="11">
        <f t="shared" ref="B27:M27" si="20">3457.7*0.17</f>
        <v>587.80899999999997</v>
      </c>
      <c r="C27" s="11">
        <f t="shared" si="20"/>
        <v>587.80899999999997</v>
      </c>
      <c r="D27" s="11">
        <f t="shared" si="20"/>
        <v>587.80899999999997</v>
      </c>
      <c r="E27" s="11">
        <f t="shared" si="20"/>
        <v>587.80899999999997</v>
      </c>
      <c r="F27" s="11">
        <f t="shared" si="20"/>
        <v>587.80899999999997</v>
      </c>
      <c r="G27" s="11">
        <f t="shared" si="20"/>
        <v>587.80899999999997</v>
      </c>
      <c r="H27" s="11">
        <f t="shared" si="20"/>
        <v>587.80899999999997</v>
      </c>
      <c r="I27" s="11">
        <f t="shared" si="20"/>
        <v>587.80899999999997</v>
      </c>
      <c r="J27" s="11">
        <f t="shared" si="20"/>
        <v>587.80899999999997</v>
      </c>
      <c r="K27" s="11">
        <f t="shared" si="20"/>
        <v>587.80899999999997</v>
      </c>
      <c r="L27" s="11">
        <f t="shared" si="20"/>
        <v>587.80899999999997</v>
      </c>
      <c r="M27" s="11">
        <f t="shared" si="20"/>
        <v>587.80899999999997</v>
      </c>
      <c r="N27" s="11">
        <f t="shared" si="19"/>
        <v>7053.7080000000014</v>
      </c>
    </row>
    <row r="28" spans="1:15" ht="21" customHeight="1" thickBot="1" x14ac:dyDescent="0.3">
      <c r="A28" s="4" t="s">
        <v>3</v>
      </c>
      <c r="B28" s="11">
        <f>62209.79*2.3%</f>
        <v>1430.8251700000001</v>
      </c>
      <c r="C28" s="11">
        <f>62866.21*2.3%</f>
        <v>1445.92283</v>
      </c>
      <c r="D28" s="11">
        <f>59712.5*2.3%</f>
        <v>1373.3875</v>
      </c>
      <c r="E28" s="11">
        <f>58511.96*2.3%</f>
        <v>1345.7750799999999</v>
      </c>
      <c r="F28" s="11">
        <f>54175.33*2.3%</f>
        <v>1246.03259</v>
      </c>
      <c r="G28" s="11">
        <f>58710.83*2.3%</f>
        <v>1350.3490899999999</v>
      </c>
      <c r="H28" s="11">
        <f>53342.14*2.3%</f>
        <v>1226.86922</v>
      </c>
      <c r="I28" s="11">
        <f>53503.89*2.3%</f>
        <v>1230.5894699999999</v>
      </c>
      <c r="J28" s="11">
        <f>55257.33*2.3%</f>
        <v>1270.91859</v>
      </c>
      <c r="K28" s="11">
        <f>53443.48*2.3%</f>
        <v>1229.2000399999999</v>
      </c>
      <c r="L28" s="11">
        <f>57011.36*2.3%</f>
        <v>1311.2612799999999</v>
      </c>
      <c r="M28" s="11">
        <f>55257.99*2.3%</f>
        <v>1270.9337699999999</v>
      </c>
      <c r="N28" s="11">
        <f t="shared" si="19"/>
        <v>15732.064630000001</v>
      </c>
    </row>
    <row r="29" spans="1:15" ht="23.25" customHeight="1" thickBot="1" x14ac:dyDescent="0.3">
      <c r="A29" s="4" t="s">
        <v>4</v>
      </c>
      <c r="B29" s="11">
        <f>53526.54*3%</f>
        <v>1605.7962</v>
      </c>
      <c r="C29" s="11">
        <f>63993.54*3%</f>
        <v>1919.8062</v>
      </c>
      <c r="D29" s="11">
        <f>64793.57*3%</f>
        <v>1943.8071</v>
      </c>
      <c r="E29" s="11">
        <f>56427.62*3%</f>
        <v>1692.8286000000001</v>
      </c>
      <c r="F29" s="11">
        <f>51073.98*3%</f>
        <v>1532.2194</v>
      </c>
      <c r="G29" s="11">
        <f>56013.71*3%</f>
        <v>1680.4113</v>
      </c>
      <c r="H29" s="11">
        <f>54596.87*3%</f>
        <v>1637.9060999999999</v>
      </c>
      <c r="I29" s="11">
        <f>51729.16*3%</f>
        <v>1551.8748000000001</v>
      </c>
      <c r="J29" s="11">
        <f>50487.78*3%</f>
        <v>1514.6333999999999</v>
      </c>
      <c r="K29" s="11">
        <f>58076.29*3%</f>
        <v>1742.2887000000001</v>
      </c>
      <c r="L29" s="11">
        <f>52772.8*3%</f>
        <v>1583.184</v>
      </c>
      <c r="M29" s="11">
        <f>56415.92*3%</f>
        <v>1692.4775999999999</v>
      </c>
      <c r="N29" s="11">
        <f t="shared" si="19"/>
        <v>20097.233400000001</v>
      </c>
    </row>
    <row r="30" spans="1:15" ht="23.25" customHeight="1" thickBot="1" x14ac:dyDescent="0.3">
      <c r="A30" s="4" t="s">
        <v>9</v>
      </c>
      <c r="B30" s="20">
        <f t="shared" ref="B30:G30" si="21">3457.7*8.5</f>
        <v>29390.449999999997</v>
      </c>
      <c r="C30" s="20">
        <f t="shared" si="21"/>
        <v>29390.449999999997</v>
      </c>
      <c r="D30" s="20">
        <f t="shared" si="21"/>
        <v>29390.449999999997</v>
      </c>
      <c r="E30" s="20">
        <f t="shared" si="21"/>
        <v>29390.449999999997</v>
      </c>
      <c r="F30" s="20">
        <f t="shared" si="21"/>
        <v>29390.449999999997</v>
      </c>
      <c r="G30" s="20">
        <f t="shared" si="21"/>
        <v>29390.449999999997</v>
      </c>
      <c r="H30" s="20">
        <f>3457.7*9.7</f>
        <v>33539.689999999995</v>
      </c>
      <c r="I30" s="20">
        <f t="shared" ref="I30:M30" si="22">3457.7*9.7</f>
        <v>33539.689999999995</v>
      </c>
      <c r="J30" s="20">
        <f t="shared" si="22"/>
        <v>33539.689999999995</v>
      </c>
      <c r="K30" s="20">
        <f t="shared" si="22"/>
        <v>33539.689999999995</v>
      </c>
      <c r="L30" s="20">
        <f t="shared" si="22"/>
        <v>33539.689999999995</v>
      </c>
      <c r="M30" s="20">
        <f t="shared" si="22"/>
        <v>33539.689999999995</v>
      </c>
      <c r="N30" s="11">
        <f t="shared" si="19"/>
        <v>377580.84</v>
      </c>
    </row>
    <row r="31" spans="1:15" ht="26.25" customHeight="1" thickBot="1" x14ac:dyDescent="0.3">
      <c r="A31" s="4" t="s">
        <v>21</v>
      </c>
      <c r="B31" s="11">
        <f>3375.25+458</f>
        <v>3833.25</v>
      </c>
      <c r="C31" s="11">
        <f>5062.04+686.93</f>
        <v>5748.97</v>
      </c>
      <c r="D31" s="11">
        <v>0</v>
      </c>
      <c r="E31" s="11">
        <f>1038.52+0</f>
        <v>1038.52</v>
      </c>
      <c r="F31" s="11">
        <f>5947.08+744.74</f>
        <v>6691.82</v>
      </c>
      <c r="G31" s="11">
        <v>0</v>
      </c>
      <c r="H31" s="11">
        <v>0</v>
      </c>
      <c r="I31" s="11">
        <v>0</v>
      </c>
      <c r="J31" s="11">
        <v>0</v>
      </c>
      <c r="K31" s="11">
        <f>0+1.37</f>
        <v>1.37</v>
      </c>
      <c r="L31" s="11">
        <v>0</v>
      </c>
      <c r="M31" s="11">
        <f>0+0.02</f>
        <v>0.02</v>
      </c>
      <c r="N31" s="11">
        <f t="shared" si="19"/>
        <v>17313.95</v>
      </c>
    </row>
    <row r="32" spans="1:15" ht="26.25" customHeight="1" thickBot="1" x14ac:dyDescent="0.3">
      <c r="A32" s="4" t="s">
        <v>22</v>
      </c>
      <c r="B32" s="11">
        <v>217.63</v>
      </c>
      <c r="C32" s="11">
        <v>217.63</v>
      </c>
      <c r="D32" s="11">
        <v>217.63</v>
      </c>
      <c r="E32" s="11">
        <v>217.63</v>
      </c>
      <c r="F32" s="11">
        <v>217.63</v>
      </c>
      <c r="G32" s="11">
        <v>217.63</v>
      </c>
      <c r="H32" s="11">
        <v>225.91</v>
      </c>
      <c r="I32" s="11">
        <v>225.91</v>
      </c>
      <c r="J32" s="11">
        <v>225.91</v>
      </c>
      <c r="K32" s="11">
        <v>225.91</v>
      </c>
      <c r="L32" s="11">
        <v>225.91</v>
      </c>
      <c r="M32" s="11">
        <v>305.89</v>
      </c>
      <c r="N32" s="11">
        <f t="shared" si="19"/>
        <v>2741.2200000000003</v>
      </c>
    </row>
    <row r="33" spans="1:14" ht="26.25" customHeight="1" thickBot="1" x14ac:dyDescent="0.3">
      <c r="A33" s="4" t="s">
        <v>23</v>
      </c>
      <c r="B33" s="11">
        <v>535.5</v>
      </c>
      <c r="C33" s="11">
        <v>2191.5</v>
      </c>
      <c r="D33" s="11">
        <v>6444</v>
      </c>
      <c r="E33" s="11">
        <v>0</v>
      </c>
      <c r="F33" s="11">
        <v>0</v>
      </c>
      <c r="G33" s="11">
        <v>0</v>
      </c>
      <c r="H33" s="11">
        <v>0</v>
      </c>
      <c r="I33" s="11">
        <v>2185.56</v>
      </c>
      <c r="J33" s="11">
        <v>0</v>
      </c>
      <c r="K33" s="11">
        <v>4446</v>
      </c>
      <c r="L33" s="11">
        <v>2166.85</v>
      </c>
      <c r="M33" s="11">
        <v>3921.9</v>
      </c>
      <c r="N33" s="11">
        <f t="shared" si="19"/>
        <v>21891.31</v>
      </c>
    </row>
    <row r="34" spans="1:14" ht="26.25" customHeight="1" thickBot="1" x14ac:dyDescent="0.3">
      <c r="A34" s="4" t="s">
        <v>27</v>
      </c>
      <c r="B34" s="11">
        <v>298.39999999999998</v>
      </c>
      <c r="C34" s="11">
        <v>298.39999999999998</v>
      </c>
      <c r="D34" s="11">
        <v>298.39999999999998</v>
      </c>
      <c r="E34" s="11">
        <v>298.39999999999998</v>
      </c>
      <c r="F34" s="11">
        <v>298.39999999999998</v>
      </c>
      <c r="G34" s="11">
        <v>298.39999999999998</v>
      </c>
      <c r="H34" s="11">
        <v>298.39999999999998</v>
      </c>
      <c r="I34" s="11">
        <v>298.39999999999998</v>
      </c>
      <c r="J34" s="11">
        <v>298.39999999999998</v>
      </c>
      <c r="K34" s="11">
        <v>298.39999999999998</v>
      </c>
      <c r="L34" s="11">
        <v>298.39999999999998</v>
      </c>
      <c r="M34" s="11">
        <v>393.5</v>
      </c>
      <c r="N34" s="11">
        <f t="shared" si="19"/>
        <v>3675.9000000000005</v>
      </c>
    </row>
    <row r="35" spans="1:14" ht="22.5" customHeight="1" thickBot="1" x14ac:dyDescent="0.3">
      <c r="A35" s="4" t="s">
        <v>6</v>
      </c>
      <c r="B35" s="11">
        <f t="shared" ref="B35:M35" si="23">3457.7*2.79</f>
        <v>9646.9830000000002</v>
      </c>
      <c r="C35" s="11">
        <f t="shared" si="23"/>
        <v>9646.9830000000002</v>
      </c>
      <c r="D35" s="11">
        <f t="shared" si="23"/>
        <v>9646.9830000000002</v>
      </c>
      <c r="E35" s="11">
        <f t="shared" si="23"/>
        <v>9646.9830000000002</v>
      </c>
      <c r="F35" s="11">
        <f t="shared" si="23"/>
        <v>9646.9830000000002</v>
      </c>
      <c r="G35" s="11">
        <f t="shared" si="23"/>
        <v>9646.9830000000002</v>
      </c>
      <c r="H35" s="11">
        <f t="shared" si="23"/>
        <v>9646.9830000000002</v>
      </c>
      <c r="I35" s="11">
        <f t="shared" si="23"/>
        <v>9646.9830000000002</v>
      </c>
      <c r="J35" s="11">
        <f t="shared" si="23"/>
        <v>9646.9830000000002</v>
      </c>
      <c r="K35" s="11">
        <f t="shared" si="23"/>
        <v>9646.9830000000002</v>
      </c>
      <c r="L35" s="11">
        <f t="shared" si="23"/>
        <v>9646.9830000000002</v>
      </c>
      <c r="M35" s="11">
        <f t="shared" si="23"/>
        <v>9646.9830000000002</v>
      </c>
      <c r="N35" s="11">
        <f t="shared" si="19"/>
        <v>115763.79600000003</v>
      </c>
    </row>
    <row r="36" spans="1:14" ht="21.75" customHeight="1" thickBot="1" x14ac:dyDescent="0.3">
      <c r="A36" s="4" t="s">
        <v>44</v>
      </c>
      <c r="B36" s="11">
        <v>5790</v>
      </c>
      <c r="C36" s="11">
        <v>6210</v>
      </c>
      <c r="D36" s="11">
        <v>5015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9"/>
        <v>17015</v>
      </c>
    </row>
    <row r="37" spans="1:14" ht="24.75" customHeight="1" thickBot="1" x14ac:dyDescent="0.3">
      <c r="A37" s="4" t="s">
        <v>26</v>
      </c>
      <c r="B37" s="11">
        <f>1140</f>
        <v>1140</v>
      </c>
      <c r="C37" s="11">
        <f>1140</f>
        <v>1140</v>
      </c>
      <c r="D37" s="11">
        <f>1140</f>
        <v>1140</v>
      </c>
      <c r="E37" s="11">
        <f>1140</f>
        <v>1140</v>
      </c>
      <c r="F37" s="11">
        <f>1140</f>
        <v>1140</v>
      </c>
      <c r="G37" s="11">
        <v>900</v>
      </c>
      <c r="H37" s="11">
        <v>900</v>
      </c>
      <c r="I37" s="11">
        <v>900</v>
      </c>
      <c r="J37" s="11">
        <v>900</v>
      </c>
      <c r="K37" s="11">
        <f>900</f>
        <v>900</v>
      </c>
      <c r="L37" s="11">
        <f>900</f>
        <v>900</v>
      </c>
      <c r="M37" s="11">
        <f>900</f>
        <v>900</v>
      </c>
      <c r="N37" s="11">
        <f t="shared" si="19"/>
        <v>12000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11560.75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9"/>
        <v>11560.75</v>
      </c>
    </row>
    <row r="39" spans="1:14" ht="24" customHeight="1" thickBot="1" x14ac:dyDescent="0.3">
      <c r="A39" s="4" t="s">
        <v>10</v>
      </c>
      <c r="B39" s="11">
        <f>1931.1+13531.8+546.8+39150+2351.4+69583.27</f>
        <v>127094.37</v>
      </c>
      <c r="C39" s="11">
        <f>85+1377.4</f>
        <v>1462.4</v>
      </c>
      <c r="D39" s="11">
        <v>0</v>
      </c>
      <c r="E39" s="11">
        <f>1387.3+1169.3+755.9</f>
        <v>3312.5</v>
      </c>
      <c r="F39" s="11">
        <f>11880.2</f>
        <v>11880.2</v>
      </c>
      <c r="G39" s="11">
        <f>3415+18372.7</f>
        <v>21787.7</v>
      </c>
      <c r="H39" s="11">
        <f>9300.4</f>
        <v>9300.4</v>
      </c>
      <c r="I39" s="11">
        <v>0</v>
      </c>
      <c r="J39" s="11">
        <f>170+803.9+16382.15</f>
        <v>17356.05</v>
      </c>
      <c r="K39" s="11">
        <v>0</v>
      </c>
      <c r="L39" s="11">
        <f>1481.7+40661.25</f>
        <v>42142.95</v>
      </c>
      <c r="M39" s="11">
        <f>170</f>
        <v>170</v>
      </c>
      <c r="N39" s="11">
        <f t="shared" si="19"/>
        <v>234506.57</v>
      </c>
    </row>
    <row r="40" spans="1:14" ht="25.2" customHeight="1" thickBot="1" x14ac:dyDescent="0.3">
      <c r="A40" s="9" t="s">
        <v>24</v>
      </c>
      <c r="B40" s="10">
        <f>SUM(B26:B39)</f>
        <v>183472.74836999999</v>
      </c>
      <c r="C40" s="10">
        <f>SUM(C26:C39)</f>
        <v>62161.606029999995</v>
      </c>
      <c r="D40" s="10">
        <f t="shared" ref="D40:M40" si="24">SUM(D26:D39)</f>
        <v>57959.201599999993</v>
      </c>
      <c r="E40" s="10">
        <f t="shared" si="24"/>
        <v>50572.630679999995</v>
      </c>
      <c r="F40" s="10">
        <f t="shared" si="24"/>
        <v>64533.278989999992</v>
      </c>
      <c r="G40" s="10">
        <f t="shared" si="24"/>
        <v>67761.467389999991</v>
      </c>
      <c r="H40" s="10">
        <f t="shared" si="24"/>
        <v>70826.452319999997</v>
      </c>
      <c r="I40" s="10">
        <f t="shared" si="24"/>
        <v>52068.551269999996</v>
      </c>
      <c r="J40" s="10">
        <f t="shared" si="24"/>
        <v>67242.128989999997</v>
      </c>
      <c r="K40" s="10">
        <f t="shared" si="24"/>
        <v>54519.385740000005</v>
      </c>
      <c r="L40" s="10">
        <f t="shared" si="24"/>
        <v>94477.657279999985</v>
      </c>
      <c r="M40" s="10">
        <f t="shared" si="24"/>
        <v>54503.823369999991</v>
      </c>
      <c r="N40" s="10">
        <f>SUM(B40:M40)</f>
        <v>880098.93203000014</v>
      </c>
    </row>
    <row r="41" spans="1:14" ht="24" customHeight="1" thickBot="1" x14ac:dyDescent="0.3">
      <c r="A41" s="4" t="s">
        <v>5</v>
      </c>
      <c r="B41" s="18">
        <f t="shared" ref="B41:N41" si="25">B16-B40</f>
        <v>-120531.54836999997</v>
      </c>
      <c r="C41" s="18">
        <f t="shared" si="25"/>
        <v>11463.693969999993</v>
      </c>
      <c r="D41" s="18">
        <f t="shared" si="25"/>
        <v>25438.088400000001</v>
      </c>
      <c r="E41" s="18">
        <f t="shared" si="25"/>
        <v>20404.739320000015</v>
      </c>
      <c r="F41" s="18">
        <f t="shared" si="25"/>
        <v>5689.3610100000078</v>
      </c>
      <c r="G41" s="18">
        <f t="shared" si="25"/>
        <v>1669.8826100000151</v>
      </c>
      <c r="H41" s="18">
        <f t="shared" si="25"/>
        <v>-1690.6723200000124</v>
      </c>
      <c r="I41" s="18">
        <f t="shared" si="25"/>
        <v>8716.6087300000072</v>
      </c>
      <c r="J41" s="18">
        <f t="shared" si="25"/>
        <v>1624.6140100000048</v>
      </c>
      <c r="K41" s="18">
        <f t="shared" si="25"/>
        <v>12908.524259999984</v>
      </c>
      <c r="L41" s="18">
        <f t="shared" si="25"/>
        <v>-28359.607279999982</v>
      </c>
      <c r="M41" s="18">
        <f t="shared" si="25"/>
        <v>11554.716630000003</v>
      </c>
      <c r="N41" s="18">
        <f t="shared" si="25"/>
        <v>-51111.599030000041</v>
      </c>
    </row>
    <row r="42" spans="1:14" ht="24.6" customHeight="1" thickBot="1" x14ac:dyDescent="0.3">
      <c r="A42" s="4" t="s">
        <v>7</v>
      </c>
      <c r="B42" s="14">
        <f t="shared" ref="B42:N42" si="26">B5+B41</f>
        <v>-513969.42836999998</v>
      </c>
      <c r="C42" s="14">
        <f t="shared" si="26"/>
        <v>-502505.73439999996</v>
      </c>
      <c r="D42" s="14">
        <f t="shared" si="26"/>
        <v>-477067.64599999995</v>
      </c>
      <c r="E42" s="14">
        <f t="shared" si="26"/>
        <v>-456662.90667999996</v>
      </c>
      <c r="F42" s="14">
        <f t="shared" si="26"/>
        <v>-450973.54566999996</v>
      </c>
      <c r="G42" s="14">
        <f t="shared" si="26"/>
        <v>-449303.66305999993</v>
      </c>
      <c r="H42" s="14">
        <f t="shared" si="26"/>
        <v>-450994.33537999995</v>
      </c>
      <c r="I42" s="14">
        <f t="shared" si="26"/>
        <v>-442277.72664999997</v>
      </c>
      <c r="J42" s="14">
        <f t="shared" si="26"/>
        <v>-440653.11263999995</v>
      </c>
      <c r="K42" s="14">
        <f t="shared" si="26"/>
        <v>-427744.58837999997</v>
      </c>
      <c r="L42" s="14">
        <f t="shared" si="26"/>
        <v>-456104.19565999997</v>
      </c>
      <c r="M42" s="14">
        <f t="shared" si="26"/>
        <v>-444549.47902999999</v>
      </c>
      <c r="N42" s="14">
        <f t="shared" si="26"/>
        <v>-444549.47903000005</v>
      </c>
    </row>
    <row r="43" spans="1:14" ht="28.2" customHeight="1" thickBot="1" x14ac:dyDescent="0.3">
      <c r="A43" s="15" t="s">
        <v>11</v>
      </c>
      <c r="B43" s="19">
        <f t="shared" ref="B43:N43" si="27">B6+B16-B7</f>
        <v>-104555.43</v>
      </c>
      <c r="C43" s="19">
        <f t="shared" si="27"/>
        <v>-108340.34</v>
      </c>
      <c r="D43" s="19">
        <f t="shared" si="27"/>
        <v>-99703.75</v>
      </c>
      <c r="E43" s="19">
        <f t="shared" si="27"/>
        <v>-101991.95</v>
      </c>
      <c r="F43" s="19">
        <f t="shared" si="27"/>
        <v>-99632.28</v>
      </c>
      <c r="G43" s="19">
        <f t="shared" si="27"/>
        <v>-103720.66999999998</v>
      </c>
      <c r="H43" s="19">
        <f t="shared" si="27"/>
        <v>-101409.56</v>
      </c>
      <c r="I43" s="19">
        <f t="shared" si="27"/>
        <v>-107617.66</v>
      </c>
      <c r="J43" s="19">
        <f t="shared" si="27"/>
        <v>-107928.34700000001</v>
      </c>
      <c r="K43" s="19">
        <f t="shared" si="27"/>
        <v>-107414.99700000003</v>
      </c>
      <c r="L43" s="19">
        <f t="shared" si="27"/>
        <v>-112659.13700000005</v>
      </c>
      <c r="M43" s="19">
        <f t="shared" si="27"/>
        <v>-115778.69700000006</v>
      </c>
      <c r="N43" s="19">
        <f t="shared" si="27"/>
        <v>-115778.69699999993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2023-03-03T09:09:54Z</cp:lastPrinted>
  <dcterms:created xsi:type="dcterms:W3CDTF">2011-06-06T03:25:48Z</dcterms:created>
  <dcterms:modified xsi:type="dcterms:W3CDTF">2023-03-20T09:46:41Z</dcterms:modified>
</cp:coreProperties>
</file>