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2" sheetId="1" r:id="rId1"/>
  </sheets>
  <calcPr calcId="144525" refMode="R1C1"/>
</workbook>
</file>

<file path=xl/calcChain.xml><?xml version="1.0" encoding="utf-8"?>
<calcChain xmlns="http://schemas.openxmlformats.org/spreadsheetml/2006/main">
  <c r="M41" i="1" l="1"/>
  <c r="L41" i="1" l="1"/>
  <c r="K41" i="1" l="1"/>
  <c r="M42" i="1" l="1"/>
  <c r="M33" i="1" l="1"/>
  <c r="L33" i="1"/>
  <c r="M31" i="1" l="1"/>
  <c r="M18" i="1"/>
  <c r="M30" i="1"/>
  <c r="M8" i="1"/>
  <c r="L31" i="1" l="1"/>
  <c r="L18" i="1"/>
  <c r="L30" i="1"/>
  <c r="L8" i="1"/>
  <c r="K31" i="1" l="1"/>
  <c r="K18" i="1"/>
  <c r="K30" i="1"/>
  <c r="K8" i="1"/>
  <c r="L37" i="1" l="1"/>
  <c r="M37" i="1"/>
  <c r="K37" i="1"/>
  <c r="K32" i="1"/>
  <c r="L32" i="1"/>
  <c r="M32" i="1"/>
  <c r="K29" i="1"/>
  <c r="L29" i="1"/>
  <c r="M29" i="1"/>
  <c r="M28" i="1"/>
  <c r="L28" i="1"/>
  <c r="K28" i="1"/>
  <c r="I32" i="1" l="1"/>
  <c r="J32" i="1"/>
  <c r="H32" i="1"/>
  <c r="J31" i="1" l="1"/>
  <c r="J18" i="1"/>
  <c r="J30" i="1"/>
  <c r="J8" i="1"/>
  <c r="H37" i="1"/>
  <c r="I37" i="1"/>
  <c r="J37" i="1"/>
  <c r="H29" i="1"/>
  <c r="I29" i="1"/>
  <c r="J29" i="1"/>
  <c r="H28" i="1"/>
  <c r="I28" i="1"/>
  <c r="J28" i="1"/>
  <c r="I31" i="1" l="1"/>
  <c r="I18" i="1"/>
  <c r="I30" i="1"/>
  <c r="I8" i="1"/>
  <c r="H31" i="1" l="1"/>
  <c r="H18" i="1"/>
  <c r="H30" i="1"/>
  <c r="H8" i="1"/>
  <c r="F33" i="1" l="1"/>
  <c r="E41" i="1" l="1"/>
  <c r="F41" i="1"/>
  <c r="E42" i="1" l="1"/>
  <c r="G31" i="1" l="1"/>
  <c r="G18" i="1"/>
  <c r="G30" i="1"/>
  <c r="G8" i="1"/>
  <c r="F31" i="1" l="1"/>
  <c r="F18" i="1"/>
  <c r="F30" i="1"/>
  <c r="F8" i="1"/>
  <c r="E31" i="1" l="1"/>
  <c r="E18" i="1"/>
  <c r="E30" i="1"/>
  <c r="E8" i="1"/>
  <c r="E37" i="1" l="1"/>
  <c r="F37" i="1"/>
  <c r="G37" i="1"/>
  <c r="E32" i="1"/>
  <c r="F32" i="1"/>
  <c r="G32" i="1"/>
  <c r="E29" i="1"/>
  <c r="F29" i="1"/>
  <c r="G29" i="1"/>
  <c r="E28" i="1"/>
  <c r="F28" i="1"/>
  <c r="G28" i="1"/>
  <c r="D41" i="1" l="1"/>
  <c r="C41" i="1" l="1"/>
  <c r="B41" i="1" l="1"/>
  <c r="D33" i="1" l="1"/>
  <c r="C33" i="1"/>
  <c r="D42" i="1" l="1"/>
  <c r="D31" i="1" l="1"/>
  <c r="D18" i="1"/>
  <c r="D30" i="1"/>
  <c r="D8" i="1"/>
  <c r="B38" i="1" l="1"/>
  <c r="B42" i="1" l="1"/>
  <c r="C31" i="1" l="1"/>
  <c r="C18" i="1"/>
  <c r="C30" i="1"/>
  <c r="C8" i="1"/>
  <c r="N42" i="1" l="1"/>
  <c r="B31" i="1" l="1"/>
  <c r="B18" i="1"/>
  <c r="B30" i="1"/>
  <c r="B8" i="1"/>
  <c r="C37" i="1" l="1"/>
  <c r="D37" i="1"/>
  <c r="C32" i="1"/>
  <c r="D32" i="1"/>
  <c r="C29" i="1"/>
  <c r="D29" i="1"/>
  <c r="C28" i="1"/>
  <c r="D28" i="1"/>
  <c r="B37" i="1"/>
  <c r="B32" i="1"/>
  <c r="B29" i="1"/>
  <c r="B28" i="1"/>
  <c r="N41" i="1"/>
  <c r="N40" i="1"/>
  <c r="N38" i="1" l="1"/>
  <c r="N36" i="1" l="1"/>
  <c r="N9" i="1" l="1"/>
  <c r="N19" i="1"/>
  <c r="N16" i="1" l="1"/>
  <c r="N6" i="1" l="1"/>
  <c r="N5" i="1"/>
  <c r="N28" i="1" l="1"/>
  <c r="N29" i="1"/>
  <c r="N32" i="1"/>
  <c r="N33" i="1"/>
  <c r="N34" i="1"/>
  <c r="N35" i="1"/>
  <c r="N37" i="1"/>
  <c r="N39" i="1"/>
  <c r="N20" i="1"/>
  <c r="N21" i="1"/>
  <c r="N22" i="1"/>
  <c r="N23" i="1"/>
  <c r="N24" i="1"/>
  <c r="N25" i="1"/>
  <c r="N26" i="1"/>
  <c r="K17" i="1"/>
  <c r="L17" i="1"/>
  <c r="M17" i="1"/>
  <c r="N10" i="1"/>
  <c r="N11" i="1"/>
  <c r="N12" i="1"/>
  <c r="N13" i="1"/>
  <c r="N14" i="1"/>
  <c r="N15" i="1"/>
  <c r="K7" i="1"/>
  <c r="L7" i="1"/>
  <c r="M7" i="1"/>
  <c r="M43" i="1" l="1"/>
  <c r="M44" i="1" s="1"/>
  <c r="L43" i="1"/>
  <c r="L44" i="1" s="1"/>
  <c r="K43" i="1"/>
  <c r="K44" i="1" l="1"/>
  <c r="H17" i="1" l="1"/>
  <c r="I17" i="1"/>
  <c r="J17" i="1"/>
  <c r="H7" i="1"/>
  <c r="I7" i="1"/>
  <c r="J7" i="1"/>
  <c r="G17" i="1"/>
  <c r="G7" i="1"/>
  <c r="F17" i="1"/>
  <c r="F7" i="1"/>
  <c r="N31" i="1"/>
  <c r="N30" i="1"/>
  <c r="N8" i="1"/>
  <c r="D17" i="1"/>
  <c r="D7" i="1"/>
  <c r="C17" i="1"/>
  <c r="C7" i="1"/>
  <c r="B17" i="1"/>
  <c r="B7" i="1"/>
  <c r="G43" i="1" l="1"/>
  <c r="G44" i="1" s="1"/>
  <c r="H43" i="1"/>
  <c r="H44" i="1" s="1"/>
  <c r="D43" i="1"/>
  <c r="D44" i="1" s="1"/>
  <c r="C43" i="1"/>
  <c r="C44" i="1" s="1"/>
  <c r="E17" i="1"/>
  <c r="N18" i="1"/>
  <c r="I43" i="1"/>
  <c r="I44" i="1" s="1"/>
  <c r="J43" i="1"/>
  <c r="J44" i="1" s="1"/>
  <c r="F43" i="1"/>
  <c r="F44" i="1" s="1"/>
  <c r="E7" i="1"/>
  <c r="N7" i="1" s="1"/>
  <c r="E43" i="1" l="1"/>
  <c r="E44" i="1" s="1"/>
  <c r="N17" i="1"/>
  <c r="B43" i="1"/>
  <c r="B46" i="1"/>
  <c r="C6" i="1" s="1"/>
  <c r="C46" i="1" s="1"/>
  <c r="N43" i="1" l="1"/>
  <c r="N46" i="1"/>
  <c r="D6" i="1"/>
  <c r="B44" i="1"/>
  <c r="B45" i="1" s="1"/>
  <c r="D46" i="1" l="1"/>
  <c r="E6" i="1" s="1"/>
  <c r="N44" i="1"/>
  <c r="N45" i="1" s="1"/>
  <c r="E46" i="1" l="1"/>
  <c r="F6" i="1" s="1"/>
  <c r="C5" i="1"/>
  <c r="C45" i="1" s="1"/>
  <c r="F46" i="1" l="1"/>
  <c r="G6" i="1" s="1"/>
  <c r="G46" i="1" s="1"/>
  <c r="D5" i="1"/>
  <c r="D45" i="1" s="1"/>
  <c r="H6" i="1" l="1"/>
  <c r="H46" i="1" s="1"/>
  <c r="E5" i="1"/>
  <c r="E45" i="1" s="1"/>
  <c r="I6" i="1" l="1"/>
  <c r="F5" i="1"/>
  <c r="F45" i="1" s="1"/>
  <c r="I46" i="1" l="1"/>
  <c r="J6" i="1" s="1"/>
  <c r="G5" i="1"/>
  <c r="G45" i="1" s="1"/>
  <c r="J46" i="1" l="1"/>
  <c r="K6" i="1" s="1"/>
  <c r="H5" i="1"/>
  <c r="H45" i="1" s="1"/>
  <c r="K46" i="1" l="1"/>
  <c r="L6" i="1" s="1"/>
  <c r="I5" i="1"/>
  <c r="I45" i="1" s="1"/>
  <c r="L46" i="1" l="1"/>
  <c r="J5" i="1"/>
  <c r="J45" i="1" s="1"/>
  <c r="M6" i="1" l="1"/>
  <c r="M46" i="1" s="1"/>
  <c r="K5" i="1"/>
  <c r="K45" i="1" s="1"/>
  <c r="L5" i="1" l="1"/>
  <c r="L45" i="1" s="1"/>
  <c r="M5" i="1" l="1"/>
  <c r="M45" i="1" s="1"/>
</calcChain>
</file>

<file path=xl/sharedStrings.xml><?xml version="1.0" encoding="utf-8"?>
<sst xmlns="http://schemas.openxmlformats.org/spreadsheetml/2006/main" count="57" uniqueCount="48">
  <si>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</si>
  <si>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</si>
  <si>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</si>
  <si>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</si>
  <si>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</si>
  <si>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</si>
  <si>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</si>
  <si>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</si>
  <si>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</si>
  <si>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</si>
  <si>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</si>
  <si>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</si>
  <si>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</si>
  <si>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</si>
  <si>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</si>
  <si>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</si>
  <si>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</si>
  <si>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</si>
  <si>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</si>
  <si>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</si>
  <si>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</si>
  <si>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</si>
  <si>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</si>
  <si>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</si>
  <si>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Тех.обслуживание приборов учета</t>
  </si>
  <si>
    <t>Комплексное обслуживание лифтов</t>
  </si>
  <si>
    <t>Содержание жилья и текущий ремонт / нежилые</t>
  </si>
  <si>
    <t>Содержание жилья и текущий ремонт  / нежилые</t>
  </si>
  <si>
    <t>Отведение сточных вод на ОИ</t>
  </si>
  <si>
    <t>Установка пластиковых окон</t>
  </si>
  <si>
    <t xml:space="preserve">Периодическое техническое освидетельствование  лифтов </t>
  </si>
  <si>
    <t>Содержание жилья и текущий ремонт,  ОПУ</t>
  </si>
  <si>
    <t>Содержание жилья и текущий ремонт, ОПУ</t>
  </si>
  <si>
    <t>Январь 2022г.</t>
  </si>
  <si>
    <t>Февраль 2022г.</t>
  </si>
  <si>
    <t>Март 2022г.</t>
  </si>
  <si>
    <t>Апрель 2022г.</t>
  </si>
  <si>
    <t>Май 2022г.</t>
  </si>
  <si>
    <t>Июнь 2022г.</t>
  </si>
  <si>
    <t>Июль 2022г</t>
  </si>
  <si>
    <t>Август 2022г</t>
  </si>
  <si>
    <t>Сентябрь 2022г</t>
  </si>
  <si>
    <t>Октябрь 2022г</t>
  </si>
  <si>
    <t>Ноябрь 2022г</t>
  </si>
  <si>
    <t>Декабрь 2022г</t>
  </si>
  <si>
    <t>Всего:                       за  2022г</t>
  </si>
  <si>
    <t xml:space="preserve">                 ОТЧЕТ по дому Ленинградская, 57/1 за период 01.01.2022г. по 31.12.2022г.</t>
  </si>
  <si>
    <t>Возмещение расходов совета МКД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</si>
</sst>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0" fontId="5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164" fontId="5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6"/>
  <sheetViews>
    <sheetView tabSelected="1" topLeftCell="A29" zoomScale="75" workbookViewId="0">
      <selection activeCell="A38" sqref="A38"/>
    </sheetView>
  </sheetViews>
  <sheetFormatPr defaultRowHeight="13.2" x14ac:dyDescent="0.25"/>
  <cols>
    <col min="1" max="1" width="58.6640625" customWidth="1"/>
    <col min="2" max="3" width="13.88671875" customWidth="1"/>
    <col min="4" max="4" width="13.6640625" customWidth="1"/>
    <col min="5" max="5" width="13.88671875" customWidth="1"/>
    <col min="6" max="6" width="13.5546875" customWidth="1"/>
    <col min="7" max="7" width="13.44140625" customWidth="1"/>
    <col min="8" max="9" width="13.88671875" customWidth="1"/>
    <col min="10" max="13" width="14.6640625" customWidth="1"/>
    <col min="14" max="14" width="16.109375" customWidth="1"/>
  </cols>
  <sheetData>
    <row r="1" spans="1:18" ht="20.25" customHeight="1" x14ac:dyDescent="0.35">
      <c r="A1" s="21" t="s">
        <v>46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5" t="s">
        <v>0</v>
      </c>
      <c r="B4" s="6" t="s">
        <v>33</v>
      </c>
      <c r="C4" s="6" t="s">
        <v>34</v>
      </c>
      <c r="D4" s="6" t="s">
        <v>35</v>
      </c>
      <c r="E4" s="6" t="s">
        <v>36</v>
      </c>
      <c r="F4" s="6" t="s">
        <v>37</v>
      </c>
      <c r="G4" s="6" t="s">
        <v>38</v>
      </c>
      <c r="H4" s="6" t="s">
        <v>39</v>
      </c>
      <c r="I4" s="6" t="s">
        <v>40</v>
      </c>
      <c r="J4" s="6" t="s">
        <v>41</v>
      </c>
      <c r="K4" s="6" t="s">
        <v>42</v>
      </c>
      <c r="L4" s="6" t="s">
        <v>43</v>
      </c>
      <c r="M4" s="6" t="s">
        <v>44</v>
      </c>
      <c r="N4" s="6" t="s">
        <v>45</v>
      </c>
    </row>
    <row r="5" spans="1:18" ht="23.25" customHeight="1" thickBot="1" x14ac:dyDescent="0.3">
      <c r="A5" s="7" t="s">
        <v>15</v>
      </c>
      <c r="B5" s="8">
        <v>-265114.23</v>
      </c>
      <c r="C5" s="8">
        <f t="shared" ref="C5:D6" si="0">B45</f>
        <v>-265653.35119999998</v>
      </c>
      <c r="D5" s="8">
        <f t="shared" si="0"/>
        <v>-252387.70599999998</v>
      </c>
      <c r="E5" s="8">
        <f t="shared" ref="E5:J6" si="1">D45</f>
        <v>-245056.71407999998</v>
      </c>
      <c r="F5" s="8">
        <f t="shared" si="1"/>
        <v>-241482.34198999999</v>
      </c>
      <c r="G5" s="8">
        <f t="shared" si="1"/>
        <v>-233603.1568</v>
      </c>
      <c r="H5" s="8">
        <f t="shared" si="1"/>
        <v>-222069.36661</v>
      </c>
      <c r="I5" s="8">
        <f t="shared" si="1"/>
        <v>-212601.64343999999</v>
      </c>
      <c r="J5" s="8">
        <f t="shared" si="1"/>
        <v>-206824.30222999997</v>
      </c>
      <c r="K5" s="8">
        <f t="shared" ref="K5:K6" si="2">J45</f>
        <v>-199127.97823999997</v>
      </c>
      <c r="L5" s="8">
        <f t="shared" ref="L5:L6" si="3">K45</f>
        <v>-192598.50309999997</v>
      </c>
      <c r="M5" s="8">
        <f t="shared" ref="M5:M6" si="4">L45</f>
        <v>-184044.52796999997</v>
      </c>
      <c r="N5" s="8">
        <f>B5</f>
        <v>-265114.23</v>
      </c>
    </row>
    <row r="6" spans="1:18" ht="21" customHeight="1" thickBot="1" x14ac:dyDescent="0.3">
      <c r="A6" s="7" t="s">
        <v>13</v>
      </c>
      <c r="B6" s="8">
        <v>-163864.23000000001</v>
      </c>
      <c r="C6" s="8">
        <f t="shared" si="0"/>
        <v>-165260.26</v>
      </c>
      <c r="D6" s="8">
        <f t="shared" si="0"/>
        <v>-160145.87</v>
      </c>
      <c r="E6" s="8">
        <f t="shared" si="1"/>
        <v>-165402.19999999998</v>
      </c>
      <c r="F6" s="8">
        <f t="shared" ref="F6" si="5">E46</f>
        <v>-166873.14999999997</v>
      </c>
      <c r="G6" s="8">
        <f t="shared" ref="G6" si="6">F46</f>
        <v>-170908.94999999998</v>
      </c>
      <c r="H6" s="8">
        <f t="shared" si="1"/>
        <v>-170916.84</v>
      </c>
      <c r="I6" s="8">
        <f t="shared" si="1"/>
        <v>-173177.96000000002</v>
      </c>
      <c r="J6" s="8">
        <f t="shared" si="1"/>
        <v>-173943.19000000003</v>
      </c>
      <c r="K6" s="8">
        <f t="shared" si="2"/>
        <v>-176961.52000000005</v>
      </c>
      <c r="L6" s="8">
        <f t="shared" si="3"/>
        <v>-177713.13000000006</v>
      </c>
      <c r="M6" s="8">
        <f t="shared" si="4"/>
        <v>-178724.33000000007</v>
      </c>
      <c r="N6" s="8">
        <f>B6</f>
        <v>-163864.23000000001</v>
      </c>
    </row>
    <row r="7" spans="1:18" ht="20.25" customHeight="1" thickBot="1" x14ac:dyDescent="0.3">
      <c r="A7" s="9" t="s">
        <v>12</v>
      </c>
      <c r="B7" s="10">
        <f t="shared" ref="B7:M7" si="7">SUM(B8:B16)</f>
        <v>48284.640000000007</v>
      </c>
      <c r="C7" s="10">
        <f t="shared" si="7"/>
        <v>47602.240000000005</v>
      </c>
      <c r="D7" s="10">
        <f t="shared" si="7"/>
        <v>50730.600000000006</v>
      </c>
      <c r="E7" s="10">
        <f t="shared" si="7"/>
        <v>49464.91</v>
      </c>
      <c r="F7" s="10">
        <f t="shared" si="7"/>
        <v>47785.710000000006</v>
      </c>
      <c r="G7" s="10">
        <f t="shared" si="7"/>
        <v>47927.210000000006</v>
      </c>
      <c r="H7" s="10">
        <f t="shared" si="7"/>
        <v>47826.05</v>
      </c>
      <c r="I7" s="10">
        <f t="shared" si="7"/>
        <v>45879.270000000011</v>
      </c>
      <c r="J7" s="10">
        <f t="shared" si="7"/>
        <v>48835.810000000005</v>
      </c>
      <c r="K7" s="10">
        <f t="shared" si="7"/>
        <v>49325.790000000008</v>
      </c>
      <c r="L7" s="10">
        <f t="shared" si="7"/>
        <v>49078.160000000011</v>
      </c>
      <c r="M7" s="10">
        <f t="shared" si="7"/>
        <v>46944.330000000009</v>
      </c>
      <c r="N7" s="10">
        <f>SUM(B7:M7)</f>
        <v>579684.72000000009</v>
      </c>
    </row>
    <row r="8" spans="1:18" ht="21" customHeight="1" thickBot="1" x14ac:dyDescent="0.3">
      <c r="A8" s="4" t="s">
        <v>31</v>
      </c>
      <c r="B8" s="11">
        <f t="shared" ref="B8:G8" si="8">38440.93+410.23</f>
        <v>38851.160000000003</v>
      </c>
      <c r="C8" s="11">
        <f t="shared" si="8"/>
        <v>38851.160000000003</v>
      </c>
      <c r="D8" s="11">
        <f t="shared" si="8"/>
        <v>38851.160000000003</v>
      </c>
      <c r="E8" s="11">
        <f t="shared" si="8"/>
        <v>38851.160000000003</v>
      </c>
      <c r="F8" s="11">
        <f t="shared" si="8"/>
        <v>38851.160000000003</v>
      </c>
      <c r="G8" s="11">
        <f t="shared" si="8"/>
        <v>38851.160000000003</v>
      </c>
      <c r="H8" s="11">
        <f>38440.93+410.23</f>
        <v>38851.160000000003</v>
      </c>
      <c r="I8" s="11">
        <f>38440.93+371.16</f>
        <v>38812.090000000004</v>
      </c>
      <c r="J8" s="11">
        <f>38440.93+371.16</f>
        <v>38812.090000000004</v>
      </c>
      <c r="K8" s="11">
        <f>40101.28+371.16</f>
        <v>40472.44</v>
      </c>
      <c r="L8" s="11">
        <f>40101.28+371.16</f>
        <v>40472.44</v>
      </c>
      <c r="M8" s="11">
        <f>40101.28+371.16</f>
        <v>40472.44</v>
      </c>
      <c r="N8" s="11">
        <f>SUM(B8:M8)</f>
        <v>470999.62000000005</v>
      </c>
    </row>
    <row r="9" spans="1:18" ht="24.75" customHeight="1" thickBot="1" x14ac:dyDescent="0.3">
      <c r="A9" s="4" t="s">
        <v>26</v>
      </c>
      <c r="B9" s="11">
        <v>310.94</v>
      </c>
      <c r="C9" s="11">
        <v>310.94</v>
      </c>
      <c r="D9" s="11">
        <v>310.94</v>
      </c>
      <c r="E9" s="11">
        <v>310.94</v>
      </c>
      <c r="F9" s="11">
        <v>310.94</v>
      </c>
      <c r="G9" s="11">
        <v>310.94</v>
      </c>
      <c r="H9" s="11">
        <v>310.94</v>
      </c>
      <c r="I9" s="11">
        <v>310.94</v>
      </c>
      <c r="J9" s="11">
        <v>310.94</v>
      </c>
      <c r="K9" s="11">
        <v>324.37</v>
      </c>
      <c r="L9" s="11">
        <v>324.37</v>
      </c>
      <c r="M9" s="11">
        <v>324.37</v>
      </c>
      <c r="N9" s="11">
        <f>SUM(B9:M9)</f>
        <v>3771.5699999999997</v>
      </c>
    </row>
    <row r="10" spans="1:18" ht="24.75" customHeight="1" thickBot="1" x14ac:dyDescent="0.3">
      <c r="A10" s="4" t="s">
        <v>16</v>
      </c>
      <c r="B10" s="11">
        <v>579.64</v>
      </c>
      <c r="C10" s="11">
        <v>0</v>
      </c>
      <c r="D10" s="11">
        <v>2831.18</v>
      </c>
      <c r="E10" s="11">
        <v>2571.04</v>
      </c>
      <c r="F10" s="11">
        <v>0</v>
      </c>
      <c r="G10" s="11">
        <v>967.21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453.49</v>
      </c>
      <c r="N10" s="11">
        <f t="shared" ref="N10:N16" si="9">SUM(B10:M10)</f>
        <v>7402.5599999999995</v>
      </c>
    </row>
    <row r="11" spans="1:18" ht="21.75" customHeight="1" thickBot="1" x14ac:dyDescent="0.3">
      <c r="A11" s="4" t="s">
        <v>17</v>
      </c>
      <c r="B11" s="11">
        <v>184.07</v>
      </c>
      <c r="C11" s="11">
        <v>184.07</v>
      </c>
      <c r="D11" s="11">
        <v>184.07</v>
      </c>
      <c r="E11" s="11">
        <v>184.07</v>
      </c>
      <c r="F11" s="11">
        <v>184.07</v>
      </c>
      <c r="G11" s="11">
        <v>184.07</v>
      </c>
      <c r="H11" s="11">
        <v>184.07</v>
      </c>
      <c r="I11" s="11">
        <v>191.12</v>
      </c>
      <c r="J11" s="11">
        <v>191.12</v>
      </c>
      <c r="K11" s="11">
        <v>127.41</v>
      </c>
      <c r="L11" s="11">
        <v>127.41</v>
      </c>
      <c r="M11" s="11">
        <v>127.36</v>
      </c>
      <c r="N11" s="11">
        <f t="shared" si="9"/>
        <v>2052.91</v>
      </c>
    </row>
    <row r="12" spans="1:18" ht="22.5" customHeight="1" thickBot="1" x14ac:dyDescent="0.3">
      <c r="A12" s="4" t="s">
        <v>18</v>
      </c>
      <c r="B12" s="11">
        <v>1820.37</v>
      </c>
      <c r="C12" s="11">
        <v>1717.61</v>
      </c>
      <c r="D12" s="11">
        <v>2014.79</v>
      </c>
      <c r="E12" s="11">
        <v>1009.24</v>
      </c>
      <c r="F12" s="11">
        <v>1901.08</v>
      </c>
      <c r="G12" s="11">
        <v>1075.3699999999999</v>
      </c>
      <c r="H12" s="11">
        <v>1941.42</v>
      </c>
      <c r="I12" s="11">
        <v>26.66</v>
      </c>
      <c r="J12" s="11">
        <v>2983.2</v>
      </c>
      <c r="K12" s="11">
        <v>1863.11</v>
      </c>
      <c r="L12" s="11">
        <v>1615.48</v>
      </c>
      <c r="M12" s="11">
        <v>1988.76</v>
      </c>
      <c r="N12" s="11">
        <f t="shared" si="9"/>
        <v>19957.089999999997</v>
      </c>
    </row>
    <row r="13" spans="1:18" ht="22.5" customHeight="1" thickBot="1" x14ac:dyDescent="0.3">
      <c r="A13" s="4" t="s">
        <v>47</v>
      </c>
      <c r="B13" s="11">
        <v>3040.92</v>
      </c>
      <c r="C13" s="11">
        <v>3040.92</v>
      </c>
      <c r="D13" s="11">
        <v>3040.92</v>
      </c>
      <c r="E13" s="11">
        <v>3040.92</v>
      </c>
      <c r="F13" s="11">
        <v>3040.92</v>
      </c>
      <c r="G13" s="11">
        <v>3040.92</v>
      </c>
      <c r="H13" s="11">
        <v>3040.92</v>
      </c>
      <c r="I13" s="11">
        <v>3040.92</v>
      </c>
      <c r="J13" s="11">
        <v>3040.92</v>
      </c>
      <c r="K13" s="11">
        <v>3040.92</v>
      </c>
      <c r="L13" s="11">
        <v>3040.92</v>
      </c>
      <c r="M13" s="11">
        <v>0</v>
      </c>
      <c r="N13" s="11">
        <f t="shared" si="9"/>
        <v>33450.119999999995</v>
      </c>
    </row>
    <row r="14" spans="1:18" ht="22.5" customHeight="1" thickBot="1" x14ac:dyDescent="0.3">
      <c r="A14" s="4" t="s">
        <v>28</v>
      </c>
      <c r="B14" s="11">
        <v>252.54</v>
      </c>
      <c r="C14" s="11">
        <v>252.54</v>
      </c>
      <c r="D14" s="11">
        <v>252.54</v>
      </c>
      <c r="E14" s="11">
        <v>252.54</v>
      </c>
      <c r="F14" s="11">
        <v>252.54</v>
      </c>
      <c r="G14" s="11">
        <v>252.54</v>
      </c>
      <c r="H14" s="11">
        <v>252.54</v>
      </c>
      <c r="I14" s="11">
        <v>252.54</v>
      </c>
      <c r="J14" s="11">
        <v>252.54</v>
      </c>
      <c r="K14" s="11">
        <v>252.54</v>
      </c>
      <c r="L14" s="11">
        <v>252.54</v>
      </c>
      <c r="M14" s="11">
        <v>332.91</v>
      </c>
      <c r="N14" s="11">
        <f t="shared" si="9"/>
        <v>3110.85</v>
      </c>
    </row>
    <row r="15" spans="1:18" ht="22.5" hidden="1" customHeight="1" thickBot="1" x14ac:dyDescent="0.3">
      <c r="A15" s="4" t="s">
        <v>29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>
        <f t="shared" si="9"/>
        <v>0</v>
      </c>
    </row>
    <row r="16" spans="1:18" ht="24" customHeight="1" thickBot="1" x14ac:dyDescent="0.3">
      <c r="A16" s="4" t="s">
        <v>14</v>
      </c>
      <c r="B16" s="11">
        <v>3245</v>
      </c>
      <c r="C16" s="11">
        <v>3245</v>
      </c>
      <c r="D16" s="11">
        <v>3245</v>
      </c>
      <c r="E16" s="11">
        <v>3245</v>
      </c>
      <c r="F16" s="11">
        <v>3245</v>
      </c>
      <c r="G16" s="11">
        <v>3245</v>
      </c>
      <c r="H16" s="11">
        <v>3245</v>
      </c>
      <c r="I16" s="11">
        <v>3245</v>
      </c>
      <c r="J16" s="11">
        <v>3245</v>
      </c>
      <c r="K16" s="11">
        <v>3245</v>
      </c>
      <c r="L16" s="11">
        <v>3245</v>
      </c>
      <c r="M16" s="11">
        <v>3245</v>
      </c>
      <c r="N16" s="11">
        <f t="shared" si="9"/>
        <v>38940</v>
      </c>
    </row>
    <row r="17" spans="1:15" ht="20.25" customHeight="1" thickBot="1" x14ac:dyDescent="0.3">
      <c r="A17" s="12" t="s">
        <v>8</v>
      </c>
      <c r="B17" s="13">
        <f t="shared" ref="B17:M17" si="10">SUM(B18:B26)</f>
        <v>46888.610000000008</v>
      </c>
      <c r="C17" s="13">
        <f t="shared" si="10"/>
        <v>52716.630000000005</v>
      </c>
      <c r="D17" s="13">
        <f t="shared" si="10"/>
        <v>45474.270000000011</v>
      </c>
      <c r="E17" s="13">
        <f t="shared" si="10"/>
        <v>47993.960000000006</v>
      </c>
      <c r="F17" s="13">
        <f t="shared" si="10"/>
        <v>43749.909999999989</v>
      </c>
      <c r="G17" s="13">
        <f t="shared" si="10"/>
        <v>47919.319999999992</v>
      </c>
      <c r="H17" s="13">
        <f t="shared" si="10"/>
        <v>45564.93</v>
      </c>
      <c r="I17" s="13">
        <f t="shared" si="10"/>
        <v>45114.04</v>
      </c>
      <c r="J17" s="13">
        <f t="shared" si="10"/>
        <v>45817.479999999996</v>
      </c>
      <c r="K17" s="13">
        <f t="shared" si="10"/>
        <v>48574.180000000008</v>
      </c>
      <c r="L17" s="13">
        <f t="shared" si="10"/>
        <v>48066.96</v>
      </c>
      <c r="M17" s="13">
        <f t="shared" si="10"/>
        <v>48425.29</v>
      </c>
      <c r="N17" s="13">
        <f>SUM(B17:M17)</f>
        <v>566305.57999999996</v>
      </c>
    </row>
    <row r="18" spans="1:15" ht="24" customHeight="1" thickBot="1" x14ac:dyDescent="0.3">
      <c r="A18" s="4" t="s">
        <v>32</v>
      </c>
      <c r="B18" s="11">
        <f>38249.01+389.21</f>
        <v>38638.22</v>
      </c>
      <c r="C18" s="11">
        <f>45839.27+418.68</f>
        <v>46257.95</v>
      </c>
      <c r="D18" s="11">
        <f>36952.19+383.32</f>
        <v>37335.51</v>
      </c>
      <c r="E18" s="11">
        <f>36461.26+399.28</f>
        <v>36860.54</v>
      </c>
      <c r="F18" s="11">
        <f>33949.49+359.35</f>
        <v>34308.839999999997</v>
      </c>
      <c r="G18" s="11">
        <f>40984.52+431.06</f>
        <v>41415.579999999994</v>
      </c>
      <c r="H18" s="11">
        <f>35964.11+398.56</f>
        <v>36362.67</v>
      </c>
      <c r="I18" s="11">
        <f>36468.98+389.17</f>
        <v>36858.15</v>
      </c>
      <c r="J18" s="11">
        <f>37923.05+359.13</f>
        <v>38282.18</v>
      </c>
      <c r="K18" s="11">
        <f>38693.98+369.39</f>
        <v>39063.370000000003</v>
      </c>
      <c r="L18" s="11">
        <f>39262.2+364.38</f>
        <v>39626.579999999994</v>
      </c>
      <c r="M18" s="11">
        <f>39615.07+365.29</f>
        <v>39980.36</v>
      </c>
      <c r="N18" s="11">
        <f>SUM(B18:M18)</f>
        <v>464989.95</v>
      </c>
    </row>
    <row r="19" spans="1:15" ht="24" customHeight="1" thickBot="1" x14ac:dyDescent="0.3">
      <c r="A19" s="4" t="s">
        <v>27</v>
      </c>
      <c r="B19" s="11">
        <v>310.94</v>
      </c>
      <c r="C19" s="11">
        <v>0</v>
      </c>
      <c r="D19" s="11">
        <v>310.94</v>
      </c>
      <c r="E19" s="11">
        <v>310.94</v>
      </c>
      <c r="F19" s="11">
        <v>310.94</v>
      </c>
      <c r="G19" s="11">
        <v>0</v>
      </c>
      <c r="H19" s="11">
        <v>932.82</v>
      </c>
      <c r="I19" s="11">
        <v>0</v>
      </c>
      <c r="J19" s="11">
        <v>621.88</v>
      </c>
      <c r="K19" s="11">
        <v>310.94</v>
      </c>
      <c r="L19" s="11">
        <v>324.37</v>
      </c>
      <c r="M19" s="11">
        <v>324.37</v>
      </c>
      <c r="N19" s="11">
        <f>SUM(B19:M19)</f>
        <v>3758.14</v>
      </c>
    </row>
    <row r="20" spans="1:15" ht="26.25" customHeight="1" thickBot="1" x14ac:dyDescent="0.3">
      <c r="A20" s="4" t="s">
        <v>16</v>
      </c>
      <c r="B20" s="11">
        <v>502.05</v>
      </c>
      <c r="C20" s="11">
        <v>589.33000000000004</v>
      </c>
      <c r="D20" s="11">
        <v>0</v>
      </c>
      <c r="E20" s="11">
        <v>2614</v>
      </c>
      <c r="F20" s="11">
        <v>2267.84</v>
      </c>
      <c r="G20" s="11">
        <v>297.74</v>
      </c>
      <c r="H20" s="11">
        <v>908.94</v>
      </c>
      <c r="I20" s="11">
        <v>31.44</v>
      </c>
      <c r="J20" s="11">
        <v>38.15</v>
      </c>
      <c r="K20" s="11">
        <v>6.86</v>
      </c>
      <c r="L20" s="11">
        <v>0</v>
      </c>
      <c r="M20" s="11">
        <v>0</v>
      </c>
      <c r="N20" s="11">
        <f t="shared" ref="N20:N26" si="11">SUM(B20:M20)</f>
        <v>7256.3499999999985</v>
      </c>
    </row>
    <row r="21" spans="1:15" ht="26.25" customHeight="1" thickBot="1" x14ac:dyDescent="0.3">
      <c r="A21" s="4" t="s">
        <v>17</v>
      </c>
      <c r="B21" s="11">
        <v>317.72000000000003</v>
      </c>
      <c r="C21" s="11">
        <v>195.5</v>
      </c>
      <c r="D21" s="11">
        <v>172.19</v>
      </c>
      <c r="E21" s="11">
        <v>174.58</v>
      </c>
      <c r="F21" s="11">
        <v>162.56</v>
      </c>
      <c r="G21" s="11">
        <v>196.27</v>
      </c>
      <c r="H21" s="11">
        <v>172.2</v>
      </c>
      <c r="I21" s="11">
        <v>174.64</v>
      </c>
      <c r="J21" s="11">
        <v>187.96</v>
      </c>
      <c r="K21" s="11">
        <v>192.33</v>
      </c>
      <c r="L21" s="11">
        <v>126.97</v>
      </c>
      <c r="M21" s="11">
        <v>125.88</v>
      </c>
      <c r="N21" s="11">
        <f t="shared" si="11"/>
        <v>2198.8000000000002</v>
      </c>
    </row>
    <row r="22" spans="1:15" ht="24" customHeight="1" thickBot="1" x14ac:dyDescent="0.3">
      <c r="A22" s="4" t="s">
        <v>18</v>
      </c>
      <c r="B22" s="11">
        <v>1033.1099999999999</v>
      </c>
      <c r="C22" s="11">
        <v>1815.98</v>
      </c>
      <c r="D22" s="11">
        <v>1606.79</v>
      </c>
      <c r="E22" s="11">
        <v>1903.55</v>
      </c>
      <c r="F22" s="11">
        <v>902.85</v>
      </c>
      <c r="G22" s="11">
        <v>1960.6</v>
      </c>
      <c r="H22" s="11">
        <v>1010.91</v>
      </c>
      <c r="I22" s="11">
        <v>1813.76</v>
      </c>
      <c r="J22" s="11">
        <v>161.72</v>
      </c>
      <c r="K22" s="11">
        <v>2805.55</v>
      </c>
      <c r="L22" s="11">
        <v>1863.02</v>
      </c>
      <c r="M22" s="11">
        <v>1600.86</v>
      </c>
      <c r="N22" s="11">
        <f t="shared" si="11"/>
        <v>18478.7</v>
      </c>
    </row>
    <row r="23" spans="1:15" ht="24" customHeight="1" thickBot="1" x14ac:dyDescent="0.3">
      <c r="A23" s="4" t="s">
        <v>47</v>
      </c>
      <c r="B23" s="11">
        <v>2871.98</v>
      </c>
      <c r="C23" s="11">
        <v>3125.39</v>
      </c>
      <c r="D23" s="11">
        <v>2837.61</v>
      </c>
      <c r="E23" s="11">
        <v>2990.82</v>
      </c>
      <c r="F23" s="11">
        <v>2673.86</v>
      </c>
      <c r="G23" s="11">
        <v>3154.87</v>
      </c>
      <c r="H23" s="11">
        <v>3041.14</v>
      </c>
      <c r="I23" s="11">
        <v>2871.46</v>
      </c>
      <c r="J23" s="11">
        <v>2956.45</v>
      </c>
      <c r="K23" s="11">
        <v>3040.92</v>
      </c>
      <c r="L23" s="11">
        <v>2978.44</v>
      </c>
      <c r="M23" s="11">
        <v>3019.33</v>
      </c>
      <c r="N23" s="11">
        <f t="shared" si="11"/>
        <v>35562.269999999997</v>
      </c>
    </row>
    <row r="24" spans="1:15" ht="24" customHeight="1" thickBot="1" x14ac:dyDescent="0.3">
      <c r="A24" s="4" t="s">
        <v>28</v>
      </c>
      <c r="B24" s="11">
        <v>239.59</v>
      </c>
      <c r="C24" s="11">
        <v>257.48</v>
      </c>
      <c r="D24" s="11">
        <v>236.23</v>
      </c>
      <c r="E24" s="11">
        <v>239.53</v>
      </c>
      <c r="F24" s="11">
        <v>223.02</v>
      </c>
      <c r="G24" s="11">
        <v>269.26</v>
      </c>
      <c r="H24" s="11">
        <v>236.25</v>
      </c>
      <c r="I24" s="11">
        <v>239.59</v>
      </c>
      <c r="J24" s="11">
        <v>249.14</v>
      </c>
      <c r="K24" s="11">
        <v>254.21</v>
      </c>
      <c r="L24" s="11">
        <v>247.58</v>
      </c>
      <c r="M24" s="11">
        <v>249.49</v>
      </c>
      <c r="N24" s="11">
        <f t="shared" si="11"/>
        <v>2941.37</v>
      </c>
    </row>
    <row r="25" spans="1:15" ht="24" hidden="1" customHeight="1" thickBot="1" x14ac:dyDescent="0.3">
      <c r="A25" s="4" t="s">
        <v>29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>
        <f t="shared" si="11"/>
        <v>0</v>
      </c>
    </row>
    <row r="26" spans="1:15" ht="21" customHeight="1" thickBot="1" x14ac:dyDescent="0.3">
      <c r="A26" s="4" t="s">
        <v>14</v>
      </c>
      <c r="B26" s="14">
        <v>2975</v>
      </c>
      <c r="C26" s="14">
        <v>475</v>
      </c>
      <c r="D26" s="14">
        <v>2975</v>
      </c>
      <c r="E26" s="14">
        <v>2900</v>
      </c>
      <c r="F26" s="14">
        <v>2900</v>
      </c>
      <c r="G26" s="14">
        <v>625</v>
      </c>
      <c r="H26" s="14">
        <v>2900</v>
      </c>
      <c r="I26" s="14">
        <v>3125</v>
      </c>
      <c r="J26" s="14">
        <v>3320</v>
      </c>
      <c r="K26" s="11">
        <v>2900</v>
      </c>
      <c r="L26" s="11">
        <v>2900</v>
      </c>
      <c r="M26" s="11">
        <v>3125</v>
      </c>
      <c r="N26" s="11">
        <f t="shared" si="11"/>
        <v>31120</v>
      </c>
      <c r="O26" s="3"/>
    </row>
    <row r="27" spans="1:15" ht="21.75" customHeight="1" thickBot="1" x14ac:dyDescent="0.3">
      <c r="A27" s="15" t="s">
        <v>23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7"/>
    </row>
    <row r="28" spans="1:15" ht="19.5" customHeight="1" thickBot="1" x14ac:dyDescent="0.3">
      <c r="A28" s="4" t="s">
        <v>1</v>
      </c>
      <c r="B28" s="11">
        <f t="shared" ref="B28:K28" si="12">1953.3*0.55</f>
        <v>1074.3150000000001</v>
      </c>
      <c r="C28" s="11">
        <f t="shared" si="12"/>
        <v>1074.3150000000001</v>
      </c>
      <c r="D28" s="11">
        <f t="shared" si="12"/>
        <v>1074.3150000000001</v>
      </c>
      <c r="E28" s="11">
        <f t="shared" si="12"/>
        <v>1074.3150000000001</v>
      </c>
      <c r="F28" s="11">
        <f t="shared" si="12"/>
        <v>1074.3150000000001</v>
      </c>
      <c r="G28" s="11">
        <f t="shared" si="12"/>
        <v>1074.3150000000001</v>
      </c>
      <c r="H28" s="11">
        <f t="shared" si="12"/>
        <v>1074.3150000000001</v>
      </c>
      <c r="I28" s="11">
        <f t="shared" si="12"/>
        <v>1074.3150000000001</v>
      </c>
      <c r="J28" s="11">
        <f t="shared" si="12"/>
        <v>1074.3150000000001</v>
      </c>
      <c r="K28" s="11">
        <f t="shared" si="12"/>
        <v>1074.3150000000001</v>
      </c>
      <c r="L28" s="11">
        <f>1953.3*0.6</f>
        <v>1171.98</v>
      </c>
      <c r="M28" s="11">
        <f>1953.3*0.6</f>
        <v>1171.98</v>
      </c>
      <c r="N28" s="11">
        <f t="shared" ref="N28:N39" si="13">SUM(B28:M28)</f>
        <v>13087.110000000002</v>
      </c>
    </row>
    <row r="29" spans="1:15" ht="22.5" customHeight="1" thickBot="1" x14ac:dyDescent="0.3">
      <c r="A29" s="4" t="s">
        <v>2</v>
      </c>
      <c r="B29" s="11">
        <f t="shared" ref="B29:M29" si="14">1953.3*0.17</f>
        <v>332.06100000000004</v>
      </c>
      <c r="C29" s="11">
        <f t="shared" si="14"/>
        <v>332.06100000000004</v>
      </c>
      <c r="D29" s="11">
        <f t="shared" si="14"/>
        <v>332.06100000000004</v>
      </c>
      <c r="E29" s="11">
        <f t="shared" si="14"/>
        <v>332.06100000000004</v>
      </c>
      <c r="F29" s="11">
        <f t="shared" si="14"/>
        <v>332.06100000000004</v>
      </c>
      <c r="G29" s="11">
        <f t="shared" si="14"/>
        <v>332.06100000000004</v>
      </c>
      <c r="H29" s="11">
        <f t="shared" si="14"/>
        <v>332.06100000000004</v>
      </c>
      <c r="I29" s="11">
        <f t="shared" si="14"/>
        <v>332.06100000000004</v>
      </c>
      <c r="J29" s="11">
        <f t="shared" si="14"/>
        <v>332.06100000000004</v>
      </c>
      <c r="K29" s="11">
        <f t="shared" si="14"/>
        <v>332.06100000000004</v>
      </c>
      <c r="L29" s="11">
        <f t="shared" si="14"/>
        <v>332.06100000000004</v>
      </c>
      <c r="M29" s="11">
        <f t="shared" si="14"/>
        <v>332.06100000000004</v>
      </c>
      <c r="N29" s="11">
        <f t="shared" si="13"/>
        <v>3984.7320000000013</v>
      </c>
    </row>
    <row r="30" spans="1:15" ht="21" customHeight="1" thickBot="1" x14ac:dyDescent="0.3">
      <c r="A30" s="4" t="s">
        <v>3</v>
      </c>
      <c r="B30" s="11">
        <f>44728.7*2.3%</f>
        <v>1028.7601</v>
      </c>
      <c r="C30" s="11">
        <f>44046.3*2.3%</f>
        <v>1013.0649000000001</v>
      </c>
      <c r="D30" s="11">
        <f>47174.66*2.3%</f>
        <v>1085.0171800000001</v>
      </c>
      <c r="E30" s="11">
        <f>45908.97*2.3%</f>
        <v>1055.9063100000001</v>
      </c>
      <c r="F30" s="11">
        <f>44229.77*2.3%</f>
        <v>1017.2847099999999</v>
      </c>
      <c r="G30" s="11">
        <f>44371.27*2.3%</f>
        <v>1020.5392099999999</v>
      </c>
      <c r="H30" s="11">
        <f>44270.11*2.3%</f>
        <v>1018.21253</v>
      </c>
      <c r="I30" s="11">
        <f>42323.33*2.3%</f>
        <v>973.43659000000002</v>
      </c>
      <c r="J30" s="11">
        <f>45279.87*2.3%</f>
        <v>1041.4370100000001</v>
      </c>
      <c r="K30" s="11">
        <f>45756.42*2.3%</f>
        <v>1052.3976599999999</v>
      </c>
      <c r="L30" s="11">
        <f>45508.79*2.3%</f>
        <v>1046.70217</v>
      </c>
      <c r="M30" s="11">
        <f>43374.96*2.3%</f>
        <v>997.62407999999994</v>
      </c>
      <c r="N30" s="11">
        <f t="shared" si="13"/>
        <v>12350.382449999999</v>
      </c>
    </row>
    <row r="31" spans="1:15" ht="23.25" customHeight="1" thickBot="1" x14ac:dyDescent="0.3">
      <c r="A31" s="4" t="s">
        <v>4</v>
      </c>
      <c r="B31" s="11">
        <f>43602.67*3%</f>
        <v>1308.0800999999999</v>
      </c>
      <c r="C31" s="11">
        <f>52241.63*3%</f>
        <v>1567.2488999999998</v>
      </c>
      <c r="D31" s="11">
        <f>42188.33*3%</f>
        <v>1265.6499000000001</v>
      </c>
      <c r="E31" s="11">
        <f>44783.02*3%</f>
        <v>1343.4905999999999</v>
      </c>
      <c r="F31" s="11">
        <f>40538.97*3%</f>
        <v>1216.1691000000001</v>
      </c>
      <c r="G31" s="11">
        <f>47294.32*3%</f>
        <v>1418.8296</v>
      </c>
      <c r="H31" s="11">
        <f>41732.11*3%</f>
        <v>1251.9632999999999</v>
      </c>
      <c r="I31" s="11">
        <f>41989.04*3%</f>
        <v>1259.6712</v>
      </c>
      <c r="J31" s="11">
        <f>41875.6*3%</f>
        <v>1256.2679999999998</v>
      </c>
      <c r="K31" s="11">
        <f>45363.24*3%</f>
        <v>1360.8971999999999</v>
      </c>
      <c r="L31" s="11">
        <f>44842.59*3%</f>
        <v>1345.2776999999999</v>
      </c>
      <c r="M31" s="11">
        <f>44975.92*3%</f>
        <v>1349.2775999999999</v>
      </c>
      <c r="N31" s="11">
        <f t="shared" si="13"/>
        <v>15942.823200000001</v>
      </c>
    </row>
    <row r="32" spans="1:15" ht="23.25" customHeight="1" thickBot="1" x14ac:dyDescent="0.3">
      <c r="A32" s="4" t="s">
        <v>9</v>
      </c>
      <c r="B32" s="11">
        <f t="shared" ref="B32:G32" si="15">1953.3*7.4</f>
        <v>14454.42</v>
      </c>
      <c r="C32" s="11">
        <f t="shared" si="15"/>
        <v>14454.42</v>
      </c>
      <c r="D32" s="11">
        <f t="shared" si="15"/>
        <v>14454.42</v>
      </c>
      <c r="E32" s="11">
        <f t="shared" si="15"/>
        <v>14454.42</v>
      </c>
      <c r="F32" s="11">
        <f t="shared" si="15"/>
        <v>14454.42</v>
      </c>
      <c r="G32" s="11">
        <f t="shared" si="15"/>
        <v>14454.42</v>
      </c>
      <c r="H32" s="11">
        <f>1953.3*8.5</f>
        <v>16603.05</v>
      </c>
      <c r="I32" s="11">
        <f t="shared" ref="I32:M32" si="16">1953.3*8.5</f>
        <v>16603.05</v>
      </c>
      <c r="J32" s="11">
        <f t="shared" si="16"/>
        <v>16603.05</v>
      </c>
      <c r="K32" s="11">
        <f t="shared" si="16"/>
        <v>16603.05</v>
      </c>
      <c r="L32" s="11">
        <f t="shared" si="16"/>
        <v>16603.05</v>
      </c>
      <c r="M32" s="11">
        <f t="shared" si="16"/>
        <v>16603.05</v>
      </c>
      <c r="N32" s="11">
        <f t="shared" si="13"/>
        <v>186344.81999999998</v>
      </c>
    </row>
    <row r="33" spans="1:14" ht="26.25" customHeight="1" thickBot="1" x14ac:dyDescent="0.3">
      <c r="A33" s="4" t="s">
        <v>19</v>
      </c>
      <c r="B33" s="11">
        <v>0</v>
      </c>
      <c r="C33" s="11">
        <f>2576.64+254.47</f>
        <v>2831.1099999999997</v>
      </c>
      <c r="D33" s="11">
        <f>2284.27+286.86</f>
        <v>2571.13</v>
      </c>
      <c r="E33" s="11">
        <v>0</v>
      </c>
      <c r="F33" s="11">
        <f>967.23+0</f>
        <v>967.23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f>453.52+0</f>
        <v>453.52</v>
      </c>
      <c r="M33" s="11">
        <f>4615.26+182.13</f>
        <v>4797.3900000000003</v>
      </c>
      <c r="N33" s="11">
        <f t="shared" si="13"/>
        <v>11620.380000000001</v>
      </c>
    </row>
    <row r="34" spans="1:14" ht="26.25" customHeight="1" thickBot="1" x14ac:dyDescent="0.3">
      <c r="A34" s="4" t="s">
        <v>20</v>
      </c>
      <c r="B34" s="11">
        <v>184.12</v>
      </c>
      <c r="C34" s="11">
        <v>184.12</v>
      </c>
      <c r="D34" s="11">
        <v>184.12</v>
      </c>
      <c r="E34" s="11">
        <v>184.12</v>
      </c>
      <c r="F34" s="11">
        <v>184.12</v>
      </c>
      <c r="G34" s="11">
        <v>184.12</v>
      </c>
      <c r="H34" s="11">
        <v>191.12</v>
      </c>
      <c r="I34" s="11">
        <v>191.12</v>
      </c>
      <c r="J34" s="11">
        <v>191.12</v>
      </c>
      <c r="K34" s="11">
        <v>191.12</v>
      </c>
      <c r="L34" s="11">
        <v>191.12</v>
      </c>
      <c r="M34" s="11">
        <v>258.79000000000002</v>
      </c>
      <c r="N34" s="11">
        <f t="shared" si="13"/>
        <v>2319.1099999999997</v>
      </c>
    </row>
    <row r="35" spans="1:14" ht="26.25" customHeight="1" thickBot="1" x14ac:dyDescent="0.3">
      <c r="A35" s="4" t="s">
        <v>21</v>
      </c>
      <c r="B35" s="11">
        <v>1717.56</v>
      </c>
      <c r="C35" s="11">
        <v>2014.83</v>
      </c>
      <c r="D35" s="11">
        <v>1009.25</v>
      </c>
      <c r="E35" s="11">
        <v>1901.06</v>
      </c>
      <c r="F35" s="11">
        <v>1075.31</v>
      </c>
      <c r="G35" s="11">
        <v>1941.43</v>
      </c>
      <c r="H35" s="11">
        <v>26.67</v>
      </c>
      <c r="I35" s="11">
        <v>2983.23</v>
      </c>
      <c r="J35" s="11">
        <v>1863.09</v>
      </c>
      <c r="K35" s="11">
        <v>1722.12</v>
      </c>
      <c r="L35" s="11">
        <v>2335.5300000000002</v>
      </c>
      <c r="M35" s="11">
        <v>3228.7</v>
      </c>
      <c r="N35" s="11">
        <f t="shared" si="13"/>
        <v>21818.78</v>
      </c>
    </row>
    <row r="36" spans="1:14" ht="26.25" customHeight="1" thickBot="1" x14ac:dyDescent="0.3">
      <c r="A36" s="4" t="s">
        <v>28</v>
      </c>
      <c r="B36" s="11">
        <v>252.46</v>
      </c>
      <c r="C36" s="11">
        <v>252.46</v>
      </c>
      <c r="D36" s="11">
        <v>252.46</v>
      </c>
      <c r="E36" s="11">
        <v>252.46</v>
      </c>
      <c r="F36" s="11">
        <v>252.46</v>
      </c>
      <c r="G36" s="11">
        <v>252.46</v>
      </c>
      <c r="H36" s="11">
        <v>252.46</v>
      </c>
      <c r="I36" s="11">
        <v>252.46</v>
      </c>
      <c r="J36" s="11">
        <v>252.46</v>
      </c>
      <c r="K36" s="11">
        <v>252.46</v>
      </c>
      <c r="L36" s="11">
        <v>252.46</v>
      </c>
      <c r="M36" s="11">
        <v>332.9</v>
      </c>
      <c r="N36" s="11">
        <f t="shared" si="13"/>
        <v>3109.96</v>
      </c>
    </row>
    <row r="37" spans="1:14" ht="22.5" customHeight="1" thickBot="1" x14ac:dyDescent="0.3">
      <c r="A37" s="4" t="s">
        <v>6</v>
      </c>
      <c r="B37" s="11">
        <f t="shared" ref="B37:J37" si="17">1953.3*2.95</f>
        <v>5762.2350000000006</v>
      </c>
      <c r="C37" s="11">
        <f t="shared" si="17"/>
        <v>5762.2350000000006</v>
      </c>
      <c r="D37" s="11">
        <f t="shared" si="17"/>
        <v>5762.2350000000006</v>
      </c>
      <c r="E37" s="11">
        <f t="shared" si="17"/>
        <v>5762.2350000000006</v>
      </c>
      <c r="F37" s="11">
        <f t="shared" si="17"/>
        <v>5762.2350000000006</v>
      </c>
      <c r="G37" s="11">
        <f t="shared" si="17"/>
        <v>5762.2350000000006</v>
      </c>
      <c r="H37" s="11">
        <f t="shared" si="17"/>
        <v>5762.2350000000006</v>
      </c>
      <c r="I37" s="11">
        <f t="shared" si="17"/>
        <v>5762.2350000000006</v>
      </c>
      <c r="J37" s="11">
        <f t="shared" si="17"/>
        <v>5762.2350000000006</v>
      </c>
      <c r="K37" s="11">
        <f>1953.3*3.08</f>
        <v>6016.1639999999998</v>
      </c>
      <c r="L37" s="11">
        <f t="shared" ref="L37:M37" si="18">1953.3*3.08</f>
        <v>6016.1639999999998</v>
      </c>
      <c r="M37" s="11">
        <f t="shared" si="18"/>
        <v>6016.1639999999998</v>
      </c>
      <c r="N37" s="11">
        <f t="shared" si="13"/>
        <v>69908.607000000004</v>
      </c>
    </row>
    <row r="38" spans="1:14" ht="24.75" customHeight="1" thickBot="1" x14ac:dyDescent="0.3">
      <c r="A38" s="4" t="s">
        <v>30</v>
      </c>
      <c r="B38" s="20">
        <f>3165</f>
        <v>3165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3615</v>
      </c>
      <c r="L38" s="11">
        <v>0</v>
      </c>
      <c r="M38" s="11">
        <v>0</v>
      </c>
      <c r="N38" s="11">
        <f t="shared" si="13"/>
        <v>6780</v>
      </c>
    </row>
    <row r="39" spans="1:14" ht="24.75" customHeight="1" thickBot="1" x14ac:dyDescent="0.3">
      <c r="A39" s="4" t="s">
        <v>25</v>
      </c>
      <c r="B39" s="11">
        <v>6720.12</v>
      </c>
      <c r="C39" s="11">
        <v>6720.12</v>
      </c>
      <c r="D39" s="11">
        <v>6720.12</v>
      </c>
      <c r="E39" s="11">
        <v>6720.12</v>
      </c>
      <c r="F39" s="11">
        <v>6720.12</v>
      </c>
      <c r="G39" s="11">
        <v>6720.12</v>
      </c>
      <c r="H39" s="11">
        <v>6720.12</v>
      </c>
      <c r="I39" s="11">
        <v>6720.12</v>
      </c>
      <c r="J39" s="11">
        <v>6720.12</v>
      </c>
      <c r="K39" s="11">
        <v>6720.12</v>
      </c>
      <c r="L39" s="11">
        <v>6720.12</v>
      </c>
      <c r="M39" s="11">
        <v>6720.12</v>
      </c>
      <c r="N39" s="11">
        <f t="shared" si="13"/>
        <v>80641.440000000002</v>
      </c>
    </row>
    <row r="40" spans="1:14" ht="21.75" customHeight="1" thickBot="1" x14ac:dyDescent="0.3">
      <c r="A40" s="4" t="s">
        <v>47</v>
      </c>
      <c r="B40" s="11">
        <v>2720</v>
      </c>
      <c r="C40" s="11">
        <v>2960</v>
      </c>
      <c r="D40" s="11">
        <v>2610</v>
      </c>
      <c r="E40" s="11">
        <v>2905</v>
      </c>
      <c r="F40" s="11">
        <v>2530</v>
      </c>
      <c r="G40" s="11">
        <v>3000</v>
      </c>
      <c r="H40" s="11">
        <v>2640</v>
      </c>
      <c r="I40" s="11">
        <v>2960</v>
      </c>
      <c r="J40" s="11">
        <v>2800</v>
      </c>
      <c r="K40" s="11">
        <v>2880</v>
      </c>
      <c r="L40" s="11">
        <v>2820</v>
      </c>
      <c r="M40" s="11">
        <v>2860</v>
      </c>
      <c r="N40" s="11">
        <f t="shared" ref="N40:N42" si="19">SUM(B40:M40)</f>
        <v>33685</v>
      </c>
    </row>
    <row r="41" spans="1:14" ht="24.75" customHeight="1" thickBot="1" x14ac:dyDescent="0.3">
      <c r="A41" s="4" t="s">
        <v>24</v>
      </c>
      <c r="B41" s="11">
        <f>285</f>
        <v>285</v>
      </c>
      <c r="C41" s="11">
        <f>285</f>
        <v>285</v>
      </c>
      <c r="D41" s="11">
        <f>285</f>
        <v>285</v>
      </c>
      <c r="E41" s="11">
        <f>285</f>
        <v>285</v>
      </c>
      <c r="F41" s="11">
        <f>285</f>
        <v>285</v>
      </c>
      <c r="G41" s="11">
        <v>225</v>
      </c>
      <c r="H41" s="11">
        <v>225</v>
      </c>
      <c r="I41" s="11">
        <v>225</v>
      </c>
      <c r="J41" s="11">
        <v>225</v>
      </c>
      <c r="K41" s="11">
        <f>225</f>
        <v>225</v>
      </c>
      <c r="L41" s="11">
        <f>225</f>
        <v>225</v>
      </c>
      <c r="M41" s="11">
        <f>225</f>
        <v>225</v>
      </c>
      <c r="N41" s="11">
        <f t="shared" si="19"/>
        <v>3000</v>
      </c>
    </row>
    <row r="42" spans="1:14" ht="24" customHeight="1" thickBot="1" x14ac:dyDescent="0.3">
      <c r="A42" s="4" t="s">
        <v>10</v>
      </c>
      <c r="B42" s="11">
        <f>3035.4+5388.2</f>
        <v>8423.6</v>
      </c>
      <c r="C42" s="11">
        <v>0</v>
      </c>
      <c r="D42" s="11">
        <f>537.5</f>
        <v>537.5</v>
      </c>
      <c r="E42" s="11">
        <f>5042.6+1319.3+1787.5</f>
        <v>8149.4000000000005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f>210</f>
        <v>210</v>
      </c>
      <c r="N42" s="11">
        <f t="shared" si="19"/>
        <v>17320.5</v>
      </c>
    </row>
    <row r="43" spans="1:14" ht="22.5" customHeight="1" thickBot="1" x14ac:dyDescent="0.3">
      <c r="A43" s="9" t="s">
        <v>22</v>
      </c>
      <c r="B43" s="10">
        <f t="shared" ref="B43:M43" si="20">SUM(B28:B42)</f>
        <v>47427.731200000002</v>
      </c>
      <c r="C43" s="10">
        <f t="shared" si="20"/>
        <v>39450.984799999998</v>
      </c>
      <c r="D43" s="10">
        <f t="shared" si="20"/>
        <v>38143.278080000004</v>
      </c>
      <c r="E43" s="10">
        <f t="shared" si="20"/>
        <v>44419.587910000002</v>
      </c>
      <c r="F43" s="10">
        <f t="shared" si="20"/>
        <v>35870.72481</v>
      </c>
      <c r="G43" s="10">
        <f t="shared" si="20"/>
        <v>36385.52981</v>
      </c>
      <c r="H43" s="10">
        <f t="shared" si="20"/>
        <v>36097.206829999996</v>
      </c>
      <c r="I43" s="10">
        <f t="shared" si="20"/>
        <v>39336.698790000002</v>
      </c>
      <c r="J43" s="10">
        <f t="shared" si="20"/>
        <v>38121.156009999999</v>
      </c>
      <c r="K43" s="10">
        <f t="shared" si="20"/>
        <v>42044.704859999998</v>
      </c>
      <c r="L43" s="10">
        <f t="shared" si="20"/>
        <v>39512.98487</v>
      </c>
      <c r="M43" s="10">
        <f t="shared" si="20"/>
        <v>45103.056680000002</v>
      </c>
      <c r="N43" s="10">
        <f>SUM(B43:M43)</f>
        <v>481913.64464999997</v>
      </c>
    </row>
    <row r="44" spans="1:14" ht="23.25" customHeight="1" thickBot="1" x14ac:dyDescent="0.3">
      <c r="A44" s="4" t="s">
        <v>5</v>
      </c>
      <c r="B44" s="18">
        <f t="shared" ref="B44:N44" si="21">B17-B43</f>
        <v>-539.12119999999413</v>
      </c>
      <c r="C44" s="18">
        <f t="shared" si="21"/>
        <v>13265.645200000006</v>
      </c>
      <c r="D44" s="18">
        <f t="shared" si="21"/>
        <v>7330.9919200000077</v>
      </c>
      <c r="E44" s="18">
        <f t="shared" si="21"/>
        <v>3574.3720900000044</v>
      </c>
      <c r="F44" s="18">
        <f t="shared" si="21"/>
        <v>7879.1851899999892</v>
      </c>
      <c r="G44" s="18">
        <f t="shared" si="21"/>
        <v>11533.790189999992</v>
      </c>
      <c r="H44" s="18">
        <f t="shared" si="21"/>
        <v>9467.7231700000048</v>
      </c>
      <c r="I44" s="18">
        <f t="shared" si="21"/>
        <v>5777.3412099999987</v>
      </c>
      <c r="J44" s="18">
        <f t="shared" si="21"/>
        <v>7696.3239899999971</v>
      </c>
      <c r="K44" s="18">
        <f t="shared" si="21"/>
        <v>6529.4751400000096</v>
      </c>
      <c r="L44" s="18">
        <f t="shared" si="21"/>
        <v>8553.9751299999989</v>
      </c>
      <c r="M44" s="18">
        <f t="shared" si="21"/>
        <v>3322.2333199999994</v>
      </c>
      <c r="N44" s="11">
        <f t="shared" si="21"/>
        <v>84391.935349999985</v>
      </c>
    </row>
    <row r="45" spans="1:14" ht="23.25" customHeight="1" thickBot="1" x14ac:dyDescent="0.3">
      <c r="A45" s="4" t="s">
        <v>7</v>
      </c>
      <c r="B45" s="14">
        <f t="shared" ref="B45:N45" si="22">B5+B44</f>
        <v>-265653.35119999998</v>
      </c>
      <c r="C45" s="14">
        <f t="shared" si="22"/>
        <v>-252387.70599999998</v>
      </c>
      <c r="D45" s="14">
        <f t="shared" si="22"/>
        <v>-245056.71407999998</v>
      </c>
      <c r="E45" s="14">
        <f t="shared" si="22"/>
        <v>-241482.34198999999</v>
      </c>
      <c r="F45" s="14">
        <f t="shared" si="22"/>
        <v>-233603.1568</v>
      </c>
      <c r="G45" s="14">
        <f t="shared" si="22"/>
        <v>-222069.36661</v>
      </c>
      <c r="H45" s="14">
        <f t="shared" si="22"/>
        <v>-212601.64343999999</v>
      </c>
      <c r="I45" s="14">
        <f t="shared" si="22"/>
        <v>-206824.30222999997</v>
      </c>
      <c r="J45" s="14">
        <f t="shared" si="22"/>
        <v>-199127.97823999997</v>
      </c>
      <c r="K45" s="14">
        <f t="shared" si="22"/>
        <v>-192598.50309999997</v>
      </c>
      <c r="L45" s="14">
        <f t="shared" si="22"/>
        <v>-184044.52796999997</v>
      </c>
      <c r="M45" s="14">
        <f t="shared" si="22"/>
        <v>-180722.29464999997</v>
      </c>
      <c r="N45" s="14">
        <f t="shared" si="22"/>
        <v>-180722.29465</v>
      </c>
    </row>
    <row r="46" spans="1:14" ht="27" customHeight="1" thickBot="1" x14ac:dyDescent="0.3">
      <c r="A46" s="15" t="s">
        <v>11</v>
      </c>
      <c r="B46" s="19">
        <f>B6+B17-B7</f>
        <v>-165260.26</v>
      </c>
      <c r="C46" s="19">
        <f t="shared" ref="C46:N46" si="23">C6+C17-C7</f>
        <v>-160145.87</v>
      </c>
      <c r="D46" s="19">
        <f t="shared" si="23"/>
        <v>-165402.19999999998</v>
      </c>
      <c r="E46" s="19">
        <f t="shared" si="23"/>
        <v>-166873.14999999997</v>
      </c>
      <c r="F46" s="19">
        <f t="shared" si="23"/>
        <v>-170908.94999999998</v>
      </c>
      <c r="G46" s="19">
        <f t="shared" si="23"/>
        <v>-170916.84</v>
      </c>
      <c r="H46" s="19">
        <f t="shared" si="23"/>
        <v>-173177.96000000002</v>
      </c>
      <c r="I46" s="19">
        <f t="shared" si="23"/>
        <v>-173943.19000000003</v>
      </c>
      <c r="J46" s="19">
        <f t="shared" si="23"/>
        <v>-176961.52000000005</v>
      </c>
      <c r="K46" s="19">
        <f t="shared" si="23"/>
        <v>-177713.13000000006</v>
      </c>
      <c r="L46" s="19">
        <f t="shared" si="23"/>
        <v>-178724.33000000007</v>
      </c>
      <c r="M46" s="19">
        <f t="shared" si="23"/>
        <v>-177243.37000000008</v>
      </c>
      <c r="N46" s="19">
        <f t="shared" si="23"/>
        <v>-177243.37000000011</v>
      </c>
    </row>
  </sheetData>
  <mergeCells count="1">
    <mergeCell ref="A1:N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2023-03-03T09:18:29Z</cp:lastPrinted>
  <dcterms:created xsi:type="dcterms:W3CDTF">2011-06-06T03:25:48Z</dcterms:created>
  <dcterms:modified xsi:type="dcterms:W3CDTF">2023-03-20T09:45:07Z</dcterms:modified>
</cp:coreProperties>
</file>