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N35" i="1" l="1"/>
  <c r="N23" i="1"/>
  <c r="N24" i="1"/>
  <c r="N25" i="1"/>
  <c r="N26" i="1"/>
  <c r="N27" i="1"/>
  <c r="N28" i="1"/>
  <c r="N29" i="1"/>
  <c r="N30" i="1"/>
  <c r="N31" i="1"/>
  <c r="N32" i="1"/>
  <c r="N33" i="1"/>
  <c r="N34" i="1"/>
  <c r="N22" i="1"/>
  <c r="M35" i="1" l="1"/>
  <c r="C35" i="1"/>
  <c r="D35" i="1"/>
  <c r="E35" i="1"/>
  <c r="F35" i="1"/>
  <c r="G35" i="1"/>
  <c r="H35" i="1"/>
  <c r="I35" i="1"/>
  <c r="J35" i="1"/>
  <c r="K35" i="1"/>
  <c r="L35" i="1"/>
  <c r="B35" i="1"/>
  <c r="M32" i="1" l="1"/>
  <c r="L32" i="1" l="1"/>
  <c r="K32" i="1" l="1"/>
  <c r="M27" i="1" l="1"/>
  <c r="L34" i="1" l="1"/>
  <c r="M25" i="1" l="1"/>
  <c r="M15" i="1"/>
  <c r="M24" i="1"/>
  <c r="M8" i="1"/>
  <c r="L25" i="1" l="1"/>
  <c r="L15" i="1"/>
  <c r="L24" i="1"/>
  <c r="L8" i="1"/>
  <c r="K25" i="1" l="1"/>
  <c r="K15" i="1"/>
  <c r="K24" i="1"/>
  <c r="K8" i="1"/>
  <c r="L31" i="1" l="1"/>
  <c r="M31" i="1"/>
  <c r="K31" i="1"/>
  <c r="K26" i="1"/>
  <c r="L26" i="1"/>
  <c r="M26" i="1"/>
  <c r="K23" i="1"/>
  <c r="L23" i="1"/>
  <c r="M23" i="1"/>
  <c r="M22" i="1"/>
  <c r="L22" i="1"/>
  <c r="K22" i="1"/>
  <c r="J27" i="1" l="1"/>
  <c r="I34" i="1" l="1"/>
  <c r="I26" i="1" l="1"/>
  <c r="J26" i="1"/>
  <c r="H26" i="1"/>
  <c r="H31" i="1" l="1"/>
  <c r="I31" i="1"/>
  <c r="J31" i="1"/>
  <c r="J25" i="1"/>
  <c r="J15" i="1"/>
  <c r="J24" i="1"/>
  <c r="H23" i="1"/>
  <c r="I23" i="1"/>
  <c r="J23" i="1"/>
  <c r="H22" i="1"/>
  <c r="I22" i="1"/>
  <c r="J22" i="1"/>
  <c r="C23" i="1" l="1"/>
  <c r="D23" i="1"/>
  <c r="E23" i="1"/>
  <c r="F23" i="1"/>
  <c r="G23" i="1"/>
  <c r="B23" i="1"/>
  <c r="C22" i="1"/>
  <c r="D22" i="1"/>
  <c r="E22" i="1"/>
  <c r="F22" i="1"/>
  <c r="G22" i="1"/>
  <c r="B22" i="1"/>
  <c r="G26" i="1"/>
  <c r="J8" i="1"/>
  <c r="I25" i="1" l="1"/>
  <c r="I15" i="1"/>
  <c r="I24" i="1"/>
  <c r="I8" i="1"/>
  <c r="H25" i="1" l="1"/>
  <c r="H15" i="1"/>
  <c r="H24" i="1"/>
  <c r="H8" i="1"/>
  <c r="G34" i="1" l="1"/>
  <c r="F27" i="1" l="1"/>
  <c r="F32" i="1" l="1"/>
  <c r="E32" i="1" l="1"/>
  <c r="G25" i="1" l="1"/>
  <c r="G15" i="1"/>
  <c r="G24" i="1"/>
  <c r="G8" i="1"/>
  <c r="F25" i="1" l="1"/>
  <c r="F15" i="1"/>
  <c r="F24" i="1"/>
  <c r="F8" i="1"/>
  <c r="E34" i="1" l="1"/>
  <c r="E25" i="1" l="1"/>
  <c r="E15" i="1"/>
  <c r="E24" i="1"/>
  <c r="E8" i="1"/>
  <c r="E31" i="1" l="1"/>
  <c r="F31" i="1"/>
  <c r="G31" i="1"/>
  <c r="E26" i="1"/>
  <c r="F26" i="1"/>
  <c r="D32" i="1" l="1"/>
  <c r="C32" i="1" l="1"/>
  <c r="B32" i="1" l="1"/>
  <c r="D25" i="1" l="1"/>
  <c r="D15" i="1"/>
  <c r="D24" i="1"/>
  <c r="D8" i="1"/>
  <c r="C31" i="1"/>
  <c r="D31" i="1"/>
  <c r="B31" i="1"/>
  <c r="C26" i="1"/>
  <c r="D26" i="1"/>
  <c r="B26" i="1"/>
  <c r="C25" i="1" l="1"/>
  <c r="C15" i="1"/>
  <c r="C24" i="1"/>
  <c r="C8" i="1"/>
  <c r="B25" i="1" l="1"/>
  <c r="B15" i="1"/>
  <c r="B24" i="1"/>
  <c r="B8" i="1"/>
  <c r="N20" i="1" l="1"/>
  <c r="N13" i="1"/>
  <c r="D14" i="1" l="1"/>
  <c r="D7" i="1"/>
  <c r="C14" i="1" l="1"/>
  <c r="C7" i="1"/>
  <c r="B14" i="1"/>
  <c r="B7" i="1"/>
  <c r="D36" i="1" l="1"/>
  <c r="N11" i="1" l="1"/>
  <c r="N16" i="1" l="1"/>
  <c r="N18" i="1"/>
  <c r="N17" i="1"/>
  <c r="N19" i="1"/>
  <c r="N9" i="1" l="1"/>
  <c r="N10" i="1"/>
  <c r="N12" i="1" l="1"/>
  <c r="H14" i="1" l="1"/>
  <c r="I14" i="1"/>
  <c r="J14" i="1"/>
  <c r="K14" i="1"/>
  <c r="L14" i="1"/>
  <c r="M14" i="1"/>
  <c r="H7" i="1"/>
  <c r="I7" i="1"/>
  <c r="J7" i="1"/>
  <c r="K7" i="1"/>
  <c r="L7" i="1"/>
  <c r="M7" i="1"/>
  <c r="E14" i="1"/>
  <c r="F14" i="1"/>
  <c r="G14" i="1"/>
  <c r="E7" i="1"/>
  <c r="F7" i="1"/>
  <c r="G7" i="1"/>
  <c r="N14" i="1" l="1"/>
  <c r="N7" i="1"/>
  <c r="M36" i="1"/>
  <c r="I36" i="1"/>
  <c r="G36" i="1"/>
  <c r="F36" i="1"/>
  <c r="E36" i="1"/>
  <c r="H36" i="1"/>
  <c r="L36" i="1" l="1"/>
  <c r="K36" i="1"/>
  <c r="J36" i="1"/>
  <c r="N15" i="1"/>
  <c r="N8" i="1" l="1"/>
  <c r="N6" i="1"/>
  <c r="N5" i="1"/>
  <c r="N38" i="1" l="1"/>
  <c r="C36" i="1"/>
  <c r="B38" i="1"/>
  <c r="C6" i="1" s="1"/>
  <c r="C38" i="1" l="1"/>
  <c r="D6" i="1" s="1"/>
  <c r="D38" i="1" l="1"/>
  <c r="E6" i="1" s="1"/>
  <c r="E38" i="1" s="1"/>
  <c r="F6" i="1" s="1"/>
  <c r="F38" i="1" s="1"/>
  <c r="G6" i="1" s="1"/>
  <c r="G38" i="1" s="1"/>
  <c r="H6" i="1" s="1"/>
  <c r="H38" i="1" s="1"/>
  <c r="I6" i="1" s="1"/>
  <c r="I38" i="1" s="1"/>
  <c r="J6" i="1" s="1"/>
  <c r="J38" i="1" s="1"/>
  <c r="K6" i="1" s="1"/>
  <c r="K38" i="1" s="1"/>
  <c r="L6" i="1" s="1"/>
  <c r="L38" i="1" s="1"/>
  <c r="M6" i="1" s="1"/>
  <c r="M38" i="1" s="1"/>
  <c r="B36" i="1"/>
  <c r="B37" i="1" s="1"/>
  <c r="C5" i="1" l="1"/>
  <c r="C37" i="1" s="1"/>
  <c r="D5" i="1" s="1"/>
  <c r="D37" i="1" s="1"/>
  <c r="N36" i="1" l="1"/>
  <c r="N37" i="1" s="1"/>
  <c r="E5" i="1" l="1"/>
  <c r="E37" i="1" s="1"/>
  <c r="F5" i="1" s="1"/>
  <c r="F37" i="1" l="1"/>
  <c r="G5" i="1" s="1"/>
  <c r="G37" i="1" s="1"/>
  <c r="H5" i="1" s="1"/>
  <c r="H37" i="1" s="1"/>
  <c r="I5" i="1" s="1"/>
  <c r="I37" i="1" s="1"/>
  <c r="J5" i="1" s="1"/>
  <c r="J37" i="1" l="1"/>
  <c r="K5" i="1" s="1"/>
  <c r="K37" i="1" l="1"/>
  <c r="L5" i="1" s="1"/>
  <c r="L37" i="1" l="1"/>
  <c r="M5" i="1" s="1"/>
  <c r="M37" i="1" s="1"/>
</calcChain>
</file>

<file path=xl/sharedStrings.xml><?xml version="1.0" encoding="utf-8"?>
<sst xmlns="http://schemas.openxmlformats.org/spreadsheetml/2006/main" count="49" uniqueCount="42">
  <si>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</si>
  <si>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</si>
  <si>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</si>
  <si>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</si>
  <si>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</si>
  <si>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</si>
  <si>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</si>
  <si>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</si>
  <si>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</si>
  <si>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</si>
  <si>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</si>
  <si>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</si>
  <si>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</si>
  <si>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</si>
  <si>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</si>
  <si>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</si>
  <si>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</si>
  <si>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</si>
  <si>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</si>
  <si>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</si>
  <si>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</si>
  <si>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</si>
  <si>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</si>
  <si>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</si>
  <si>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газового оборудования</t>
  </si>
  <si>
    <t>Тех.обслуживание узла учета тепловой энергии</t>
  </si>
  <si>
    <t>Дополнительный доход (использование общего имущества)</t>
  </si>
  <si>
    <t>Содержание жилья и текущий ремонт, ОПУ</t>
  </si>
  <si>
    <t>Январь 2022г.</t>
  </si>
  <si>
    <t>Февраль  2022г.</t>
  </si>
  <si>
    <t>Март  2022г.</t>
  </si>
  <si>
    <t>Апрель 2022г.</t>
  </si>
  <si>
    <t>Май 2022г.</t>
  </si>
  <si>
    <t>Июнь 2022г.</t>
  </si>
  <si>
    <t>Июль 2022г</t>
  </si>
  <si>
    <t>Август 2022г</t>
  </si>
  <si>
    <t>Сентябрь 2022г</t>
  </si>
  <si>
    <t>Октябрь 2022г</t>
  </si>
  <si>
    <t xml:space="preserve">Ноябрь 2022г </t>
  </si>
  <si>
    <t>Декабрь 2022г</t>
  </si>
  <si>
    <t>Всего:                       за  2022г.</t>
  </si>
  <si>
    <t xml:space="preserve">                 ОТЧЕТ по дому Горно-Алтайская, 58  за период 01.01.2022г. по 31.12.2022г.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</si>
</sst>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1" fillId="0" borderId="1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164" fontId="9" fillId="2" borderId="4" xfId="0" applyNumberFormat="1" applyFont="1" applyFill="1" applyBorder="1" applyAlignment="1">
      <alignment horizontal="left"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8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topLeftCell="B19" zoomScale="75" workbookViewId="0">
      <selection activeCell="N36" sqref="N36"/>
    </sheetView>
  </sheetViews>
  <sheetFormatPr defaultRowHeight="13.2" x14ac:dyDescent="0.25"/>
  <cols>
    <col min="1" max="1" width="56.44140625" customWidth="1"/>
    <col min="2" max="2" width="13.77734375" customWidth="1"/>
    <col min="3" max="3" width="14.21875" customWidth="1"/>
    <col min="4" max="4" width="15" customWidth="1"/>
    <col min="5" max="5" width="14" customWidth="1"/>
    <col min="6" max="6" width="13.5546875" customWidth="1"/>
    <col min="7" max="7" width="14.5546875" customWidth="1"/>
    <col min="8" max="8" width="14.44140625" customWidth="1"/>
    <col min="9" max="9" width="16.88671875" customWidth="1"/>
    <col min="10" max="10" width="15.109375" customWidth="1"/>
    <col min="11" max="11" width="14.88671875" customWidth="1"/>
    <col min="12" max="12" width="14.21875" customWidth="1"/>
    <col min="13" max="13" width="14" customWidth="1"/>
    <col min="14" max="14" width="14.21875" customWidth="1"/>
  </cols>
  <sheetData>
    <row r="1" spans="1:18" ht="20.25" customHeight="1" x14ac:dyDescent="0.35">
      <c r="A1" s="21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3" t="s">
        <v>0</v>
      </c>
      <c r="B4" s="11" t="s">
        <v>28</v>
      </c>
      <c r="C4" s="11" t="s">
        <v>29</v>
      </c>
      <c r="D4" s="11" t="s">
        <v>30</v>
      </c>
      <c r="E4" s="11" t="s">
        <v>31</v>
      </c>
      <c r="F4" s="11" t="s">
        <v>32</v>
      </c>
      <c r="G4" s="11" t="s">
        <v>33</v>
      </c>
      <c r="H4" s="11" t="s">
        <v>34</v>
      </c>
      <c r="I4" s="11" t="s">
        <v>35</v>
      </c>
      <c r="J4" s="11" t="s">
        <v>36</v>
      </c>
      <c r="K4" s="11" t="s">
        <v>37</v>
      </c>
      <c r="L4" s="11" t="s">
        <v>38</v>
      </c>
      <c r="M4" s="11" t="s">
        <v>39</v>
      </c>
      <c r="N4" s="11" t="s">
        <v>40</v>
      </c>
    </row>
    <row r="5" spans="1:18" ht="23.25" customHeight="1" thickBot="1" x14ac:dyDescent="0.3">
      <c r="A5" s="4" t="s">
        <v>14</v>
      </c>
      <c r="B5" s="12">
        <v>-357821.91</v>
      </c>
      <c r="C5" s="12">
        <f>B37</f>
        <v>-333602.21649999998</v>
      </c>
      <c r="D5" s="12">
        <f>C37</f>
        <v>-329018.47872999997</v>
      </c>
      <c r="E5" s="12">
        <f t="shared" ref="E5:G5" si="0">D37</f>
        <v>-326190.55395999999</v>
      </c>
      <c r="F5" s="12">
        <f t="shared" si="0"/>
        <v>-330759.93239999999</v>
      </c>
      <c r="G5" s="12">
        <f t="shared" si="0"/>
        <v>-332504.35645999998</v>
      </c>
      <c r="H5" s="12">
        <f t="shared" ref="H5:H6" si="1">G37</f>
        <v>-326845.40632999997</v>
      </c>
      <c r="I5" s="12">
        <f t="shared" ref="I5:I6" si="2">H37</f>
        <v>-329180.43932999996</v>
      </c>
      <c r="J5" s="12">
        <f t="shared" ref="J5:J6" si="3">I37</f>
        <v>-330268.46377999999</v>
      </c>
      <c r="K5" s="12">
        <f t="shared" ref="K5:K6" si="4">J37</f>
        <v>-327288.11395999999</v>
      </c>
      <c r="L5" s="12">
        <f t="shared" ref="L5:L6" si="5">K37</f>
        <v>-327609.53534</v>
      </c>
      <c r="M5" s="12">
        <f t="shared" ref="M5:M6" si="6">L37</f>
        <v>-323903.5246</v>
      </c>
      <c r="N5" s="12">
        <f>B5</f>
        <v>-357821.91</v>
      </c>
    </row>
    <row r="6" spans="1:18" ht="21" customHeight="1" thickBot="1" x14ac:dyDescent="0.3">
      <c r="A6" s="4" t="s">
        <v>13</v>
      </c>
      <c r="B6" s="12">
        <v>-89156.38</v>
      </c>
      <c r="C6" s="12">
        <f>B38</f>
        <v>-70543.63</v>
      </c>
      <c r="D6" s="12">
        <f>C38</f>
        <v>-69338.200000000012</v>
      </c>
      <c r="E6" s="12">
        <f t="shared" ref="E6:G6" si="7">D38</f>
        <v>-73814.770000000019</v>
      </c>
      <c r="F6" s="12">
        <f t="shared" si="7"/>
        <v>-75029.330000000016</v>
      </c>
      <c r="G6" s="12">
        <f t="shared" si="7"/>
        <v>-77361.640000000014</v>
      </c>
      <c r="H6" s="12">
        <f t="shared" si="1"/>
        <v>-77873.180000000022</v>
      </c>
      <c r="I6" s="12">
        <f t="shared" si="2"/>
        <v>-81341.24000000002</v>
      </c>
      <c r="J6" s="12">
        <f t="shared" si="3"/>
        <v>-80198.660000000033</v>
      </c>
      <c r="K6" s="12">
        <f t="shared" si="4"/>
        <v>-79961.97000000003</v>
      </c>
      <c r="L6" s="12">
        <f t="shared" si="5"/>
        <v>-86039.690000000031</v>
      </c>
      <c r="M6" s="12">
        <f t="shared" si="6"/>
        <v>-92592.800000000032</v>
      </c>
      <c r="N6" s="12">
        <f>B6</f>
        <v>-89156.38</v>
      </c>
    </row>
    <row r="7" spans="1:18" ht="20.25" customHeight="1" thickBot="1" x14ac:dyDescent="0.3">
      <c r="A7" s="5" t="s">
        <v>12</v>
      </c>
      <c r="B7" s="13">
        <f>SUM(B8:B13)</f>
        <v>23738</v>
      </c>
      <c r="C7" s="13">
        <f t="shared" ref="C7:D7" si="8">SUM(C8:C13)</f>
        <v>23199.61</v>
      </c>
      <c r="D7" s="13">
        <f t="shared" si="8"/>
        <v>25440.610000000004</v>
      </c>
      <c r="E7" s="13">
        <f t="shared" ref="E7:G7" si="9">SUM(E8:E12)</f>
        <v>23607.08</v>
      </c>
      <c r="F7" s="13">
        <f t="shared" si="9"/>
        <v>24129.120000000003</v>
      </c>
      <c r="G7" s="13">
        <f t="shared" si="9"/>
        <v>24792.190000000002</v>
      </c>
      <c r="H7" s="13">
        <f t="shared" ref="H7" si="10">SUM(H8:H12)</f>
        <v>22981.600000000002</v>
      </c>
      <c r="I7" s="13">
        <f t="shared" ref="I7" si="11">SUM(I8:I12)</f>
        <v>26454.850000000002</v>
      </c>
      <c r="J7" s="13">
        <f t="shared" ref="J7" si="12">SUM(J8:J12)</f>
        <v>24447.16</v>
      </c>
      <c r="K7" s="13">
        <f t="shared" ref="K7" si="13">SUM(K8:K12)</f>
        <v>28390.66</v>
      </c>
      <c r="L7" s="13">
        <f t="shared" ref="L7" si="14">SUM(L8:L12)</f>
        <v>30769.52</v>
      </c>
      <c r="M7" s="13">
        <f t="shared" ref="M7" si="15">SUM(M8:M12)</f>
        <v>27729.729999999996</v>
      </c>
      <c r="N7" s="13">
        <f>SUM(B7:M7)</f>
        <v>305680.13</v>
      </c>
    </row>
    <row r="8" spans="1:18" ht="24.75" customHeight="1" thickBot="1" x14ac:dyDescent="0.3">
      <c r="A8" s="9" t="s">
        <v>27</v>
      </c>
      <c r="B8" s="14">
        <f>21042.72+599.85</f>
        <v>21642.57</v>
      </c>
      <c r="C8" s="14">
        <f t="shared" ref="C8:H8" si="16">22160.02+631.7</f>
        <v>22791.72</v>
      </c>
      <c r="D8" s="14">
        <f t="shared" si="16"/>
        <v>22791.72</v>
      </c>
      <c r="E8" s="14">
        <f t="shared" si="16"/>
        <v>22791.72</v>
      </c>
      <c r="F8" s="14">
        <f t="shared" si="16"/>
        <v>22791.72</v>
      </c>
      <c r="G8" s="14">
        <f t="shared" si="16"/>
        <v>22791.72</v>
      </c>
      <c r="H8" s="14">
        <f t="shared" si="16"/>
        <v>22791.72</v>
      </c>
      <c r="I8" s="14">
        <f>22160.02+947.61</f>
        <v>23107.63</v>
      </c>
      <c r="J8" s="14">
        <f>22160.02+947.61</f>
        <v>23107.63</v>
      </c>
      <c r="K8" s="14">
        <f>26581.92+947.61</f>
        <v>27529.53</v>
      </c>
      <c r="L8" s="14">
        <f>26581.92+947.61</f>
        <v>27529.53</v>
      </c>
      <c r="M8" s="14">
        <f>26581.92+947.61</f>
        <v>27529.53</v>
      </c>
      <c r="N8" s="14">
        <f>SUM(B8:M8)</f>
        <v>287196.74</v>
      </c>
    </row>
    <row r="9" spans="1:18" ht="24.75" customHeight="1" thickBot="1" x14ac:dyDescent="0.3">
      <c r="A9" s="9" t="s">
        <v>15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267.08999999999997</v>
      </c>
      <c r="H9" s="14">
        <v>0</v>
      </c>
      <c r="I9" s="14">
        <v>0</v>
      </c>
      <c r="J9" s="14">
        <v>0</v>
      </c>
      <c r="K9" s="14">
        <v>21.99</v>
      </c>
      <c r="L9" s="14">
        <v>0</v>
      </c>
      <c r="M9" s="14">
        <v>0</v>
      </c>
      <c r="N9" s="14">
        <f t="shared" ref="N9:N13" si="17">SUM(B9:M9)</f>
        <v>289.08</v>
      </c>
    </row>
    <row r="10" spans="1:18" ht="21.75" customHeight="1" thickBot="1" x14ac:dyDescent="0.3">
      <c r="A10" s="9" t="s">
        <v>16</v>
      </c>
      <c r="B10" s="14">
        <v>80.08</v>
      </c>
      <c r="C10" s="14">
        <v>80.08</v>
      </c>
      <c r="D10" s="14">
        <v>80.08</v>
      </c>
      <c r="E10" s="14">
        <v>80.08</v>
      </c>
      <c r="F10" s="14">
        <v>80.08</v>
      </c>
      <c r="G10" s="14">
        <v>80.08</v>
      </c>
      <c r="H10" s="14">
        <v>80.08</v>
      </c>
      <c r="I10" s="14">
        <v>83.11</v>
      </c>
      <c r="J10" s="14">
        <v>83.11</v>
      </c>
      <c r="K10" s="14">
        <v>55.43</v>
      </c>
      <c r="L10" s="14">
        <v>55.43</v>
      </c>
      <c r="M10" s="14">
        <v>55.42</v>
      </c>
      <c r="N10" s="14">
        <f t="shared" si="17"/>
        <v>893.05999999999983</v>
      </c>
    </row>
    <row r="11" spans="1:18" ht="22.5" customHeight="1" thickBot="1" x14ac:dyDescent="0.3">
      <c r="A11" s="9" t="s">
        <v>17</v>
      </c>
      <c r="B11" s="14">
        <v>1705.51</v>
      </c>
      <c r="C11" s="14">
        <v>18.010000000000002</v>
      </c>
      <c r="D11" s="14">
        <v>2259.0100000000002</v>
      </c>
      <c r="E11" s="14">
        <v>625.48</v>
      </c>
      <c r="F11" s="14">
        <v>1147.52</v>
      </c>
      <c r="G11" s="14">
        <v>1543.5</v>
      </c>
      <c r="H11" s="14">
        <v>0</v>
      </c>
      <c r="I11" s="14">
        <v>3154.31</v>
      </c>
      <c r="J11" s="14">
        <v>1146.6199999999999</v>
      </c>
      <c r="K11" s="14">
        <v>673.91</v>
      </c>
      <c r="L11" s="14">
        <v>3074.76</v>
      </c>
      <c r="M11" s="14">
        <v>0</v>
      </c>
      <c r="N11" s="14">
        <f t="shared" si="17"/>
        <v>15348.63</v>
      </c>
    </row>
    <row r="12" spans="1:18" ht="22.5" customHeight="1" thickBot="1" x14ac:dyDescent="0.3">
      <c r="A12" s="9" t="s">
        <v>23</v>
      </c>
      <c r="B12" s="14">
        <v>109.84</v>
      </c>
      <c r="C12" s="14">
        <v>109.8</v>
      </c>
      <c r="D12" s="14">
        <v>109.8</v>
      </c>
      <c r="E12" s="14">
        <v>109.8</v>
      </c>
      <c r="F12" s="14">
        <v>109.8</v>
      </c>
      <c r="G12" s="14">
        <v>109.8</v>
      </c>
      <c r="H12" s="14">
        <v>109.8</v>
      </c>
      <c r="I12" s="14">
        <v>109.8</v>
      </c>
      <c r="J12" s="14">
        <v>109.8</v>
      </c>
      <c r="K12" s="14">
        <v>109.8</v>
      </c>
      <c r="L12" s="14">
        <v>109.8</v>
      </c>
      <c r="M12" s="14">
        <v>144.78</v>
      </c>
      <c r="N12" s="14">
        <f t="shared" si="17"/>
        <v>1352.6199999999997</v>
      </c>
    </row>
    <row r="13" spans="1:18" ht="22.5" customHeight="1" thickBot="1" x14ac:dyDescent="0.3">
      <c r="A13" s="9" t="s">
        <v>26</v>
      </c>
      <c r="B13" s="14">
        <v>200</v>
      </c>
      <c r="C13" s="14">
        <v>200</v>
      </c>
      <c r="D13" s="14">
        <v>200</v>
      </c>
      <c r="E13" s="14">
        <v>200</v>
      </c>
      <c r="F13" s="14">
        <v>200</v>
      </c>
      <c r="G13" s="14">
        <v>200</v>
      </c>
      <c r="H13" s="14">
        <v>200</v>
      </c>
      <c r="I13" s="14">
        <v>200</v>
      </c>
      <c r="J13" s="14">
        <v>200</v>
      </c>
      <c r="K13" s="14">
        <v>200</v>
      </c>
      <c r="L13" s="14">
        <v>200</v>
      </c>
      <c r="M13" s="14">
        <v>200</v>
      </c>
      <c r="N13" s="14">
        <f t="shared" si="17"/>
        <v>2400</v>
      </c>
    </row>
    <row r="14" spans="1:18" ht="20.25" customHeight="1" thickBot="1" x14ac:dyDescent="0.3">
      <c r="A14" s="7" t="s">
        <v>8</v>
      </c>
      <c r="B14" s="15">
        <f>SUM(B15:B20)</f>
        <v>42350.75</v>
      </c>
      <c r="C14" s="15">
        <f t="shared" ref="C14:D14" si="18">SUM(C15:C20)</f>
        <v>24405.040000000001</v>
      </c>
      <c r="D14" s="15">
        <f t="shared" si="18"/>
        <v>20964.039999999997</v>
      </c>
      <c r="E14" s="15">
        <f t="shared" ref="E14:M14" si="19">SUM(E15:E19)</f>
        <v>22392.519999999997</v>
      </c>
      <c r="F14" s="15">
        <f t="shared" si="19"/>
        <v>21796.809999999998</v>
      </c>
      <c r="G14" s="15">
        <f t="shared" si="19"/>
        <v>24280.65</v>
      </c>
      <c r="H14" s="15">
        <f t="shared" si="19"/>
        <v>19513.540000000005</v>
      </c>
      <c r="I14" s="15">
        <f t="shared" si="19"/>
        <v>27597.429999999997</v>
      </c>
      <c r="J14" s="15">
        <f t="shared" si="19"/>
        <v>24683.850000000002</v>
      </c>
      <c r="K14" s="15">
        <f t="shared" si="19"/>
        <v>22312.940000000002</v>
      </c>
      <c r="L14" s="15">
        <f t="shared" si="19"/>
        <v>24216.41</v>
      </c>
      <c r="M14" s="15">
        <f t="shared" si="19"/>
        <v>32033.179999999997</v>
      </c>
      <c r="N14" s="15">
        <f>SUM(B14:M14)</f>
        <v>306547.15999999997</v>
      </c>
    </row>
    <row r="15" spans="1:18" ht="24" customHeight="1" thickBot="1" x14ac:dyDescent="0.3">
      <c r="A15" s="9" t="s">
        <v>27</v>
      </c>
      <c r="B15" s="14">
        <f>35945.4+655.3</f>
        <v>36600.700000000004</v>
      </c>
      <c r="C15" s="14">
        <f>22139.47+543.81</f>
        <v>22683.280000000002</v>
      </c>
      <c r="D15" s="14">
        <f>20198.51+576.69</f>
        <v>20775.199999999997</v>
      </c>
      <c r="E15" s="14">
        <f>19659.94+560.55</f>
        <v>20220.489999999998</v>
      </c>
      <c r="F15" s="14">
        <f>20160.07+574.33</f>
        <v>20734.400000000001</v>
      </c>
      <c r="G15" s="14">
        <f>22421.23+586.81</f>
        <v>23008.04</v>
      </c>
      <c r="H15" s="14">
        <f>17468.08+497.34</f>
        <v>17965.420000000002</v>
      </c>
      <c r="I15" s="14">
        <f>26195.6+746.11</f>
        <v>26941.71</v>
      </c>
      <c r="J15" s="14">
        <f>20885.91+861.95</f>
        <v>21747.86</v>
      </c>
      <c r="K15" s="14">
        <f>20263.87+709.48</f>
        <v>20973.35</v>
      </c>
      <c r="L15" s="14">
        <f>22527.67+819.51</f>
        <v>23347.179999999997</v>
      </c>
      <c r="M15" s="14">
        <f>28086.85+963.21</f>
        <v>29050.059999999998</v>
      </c>
      <c r="N15" s="14">
        <f>SUM(B15:M15)</f>
        <v>284047.69000000006</v>
      </c>
    </row>
    <row r="16" spans="1:18" ht="26.25" customHeight="1" thickBot="1" x14ac:dyDescent="0.3">
      <c r="A16" s="9" t="s">
        <v>15</v>
      </c>
      <c r="B16" s="14">
        <v>3857.69</v>
      </c>
      <c r="C16" s="14">
        <v>0</v>
      </c>
      <c r="D16" s="14">
        <v>0</v>
      </c>
      <c r="E16" s="14">
        <v>0</v>
      </c>
      <c r="F16" s="14">
        <v>142.62</v>
      </c>
      <c r="G16" s="14">
        <v>29.02</v>
      </c>
      <c r="H16" s="14">
        <v>198.86</v>
      </c>
      <c r="I16" s="14">
        <v>38.96</v>
      </c>
      <c r="J16" s="14">
        <v>8.93</v>
      </c>
      <c r="K16" s="14">
        <v>30.93</v>
      </c>
      <c r="L16" s="14">
        <v>17.95</v>
      </c>
      <c r="M16" s="14">
        <v>5</v>
      </c>
      <c r="N16" s="14">
        <f t="shared" ref="N16:N20" si="20">SUM(B16:M16)</f>
        <v>4329.96</v>
      </c>
    </row>
    <row r="17" spans="1:14" ht="26.25" customHeight="1" thickBot="1" x14ac:dyDescent="0.3">
      <c r="A17" s="9" t="s">
        <v>16</v>
      </c>
      <c r="B17" s="14">
        <v>92.1</v>
      </c>
      <c r="C17" s="14">
        <v>72.73</v>
      </c>
      <c r="D17" s="14">
        <v>73</v>
      </c>
      <c r="E17" s="14">
        <v>71.05</v>
      </c>
      <c r="F17" s="14">
        <v>73.19</v>
      </c>
      <c r="G17" s="14">
        <v>81.23</v>
      </c>
      <c r="H17" s="14">
        <v>63.12</v>
      </c>
      <c r="I17" s="14">
        <v>94.58</v>
      </c>
      <c r="J17" s="14">
        <v>78.12</v>
      </c>
      <c r="K17" s="14">
        <v>75.83</v>
      </c>
      <c r="L17" s="14">
        <v>52.49</v>
      </c>
      <c r="M17" s="14">
        <v>61.5</v>
      </c>
      <c r="N17" s="14">
        <f t="shared" si="20"/>
        <v>888.94</v>
      </c>
    </row>
    <row r="18" spans="1:14" ht="24" customHeight="1" thickBot="1" x14ac:dyDescent="0.3">
      <c r="A18" s="9" t="s">
        <v>17</v>
      </c>
      <c r="B18" s="14">
        <v>1673.95</v>
      </c>
      <c r="C18" s="14">
        <v>1549.28</v>
      </c>
      <c r="D18" s="14">
        <v>15.75</v>
      </c>
      <c r="E18" s="14">
        <v>2003.57</v>
      </c>
      <c r="F18" s="14">
        <v>746.23</v>
      </c>
      <c r="G18" s="14">
        <v>1050.98</v>
      </c>
      <c r="H18" s="14">
        <v>1199.58</v>
      </c>
      <c r="I18" s="14">
        <v>392.51</v>
      </c>
      <c r="J18" s="14">
        <v>2745.36</v>
      </c>
      <c r="K18" s="14">
        <v>1132.1300000000001</v>
      </c>
      <c r="L18" s="14">
        <v>702.97</v>
      </c>
      <c r="M18" s="14">
        <v>2799.14</v>
      </c>
      <c r="N18" s="14">
        <f t="shared" si="20"/>
        <v>16011.449999999999</v>
      </c>
    </row>
    <row r="19" spans="1:14" ht="24" customHeight="1" thickBot="1" x14ac:dyDescent="0.3">
      <c r="A19" s="9" t="s">
        <v>23</v>
      </c>
      <c r="B19" s="16">
        <v>126.31</v>
      </c>
      <c r="C19" s="16">
        <v>99.75</v>
      </c>
      <c r="D19" s="16">
        <v>100.09</v>
      </c>
      <c r="E19" s="16">
        <v>97.41</v>
      </c>
      <c r="F19" s="16">
        <v>100.37</v>
      </c>
      <c r="G19" s="16">
        <v>111.38</v>
      </c>
      <c r="H19" s="16">
        <v>86.56</v>
      </c>
      <c r="I19" s="16">
        <v>129.66999999999999</v>
      </c>
      <c r="J19" s="16">
        <v>103.58</v>
      </c>
      <c r="K19" s="16">
        <v>100.7</v>
      </c>
      <c r="L19" s="16">
        <v>95.82</v>
      </c>
      <c r="M19" s="16">
        <v>117.48</v>
      </c>
      <c r="N19" s="16">
        <f t="shared" si="20"/>
        <v>1269.1199999999999</v>
      </c>
    </row>
    <row r="20" spans="1:14" ht="24" customHeight="1" thickBot="1" x14ac:dyDescent="0.3">
      <c r="A20" s="10" t="s">
        <v>26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f t="shared" si="20"/>
        <v>0</v>
      </c>
    </row>
    <row r="21" spans="1:14" ht="21.75" customHeight="1" thickBot="1" x14ac:dyDescent="0.3">
      <c r="A21" s="8" t="s">
        <v>22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9"/>
    </row>
    <row r="22" spans="1:14" ht="19.5" customHeight="1" thickBot="1" x14ac:dyDescent="0.3">
      <c r="A22" s="9" t="s">
        <v>1</v>
      </c>
      <c r="B22" s="14">
        <f>1263.4*0.55</f>
        <v>694.87000000000012</v>
      </c>
      <c r="C22" s="14">
        <f t="shared" ref="C22:K22" si="21">1263.4*0.55</f>
        <v>694.87000000000012</v>
      </c>
      <c r="D22" s="14">
        <f t="shared" si="21"/>
        <v>694.87000000000012</v>
      </c>
      <c r="E22" s="14">
        <f t="shared" si="21"/>
        <v>694.87000000000012</v>
      </c>
      <c r="F22" s="14">
        <f t="shared" si="21"/>
        <v>694.87000000000012</v>
      </c>
      <c r="G22" s="14">
        <f t="shared" si="21"/>
        <v>694.87000000000012</v>
      </c>
      <c r="H22" s="14">
        <f t="shared" si="21"/>
        <v>694.87000000000012</v>
      </c>
      <c r="I22" s="14">
        <f t="shared" si="21"/>
        <v>694.87000000000012</v>
      </c>
      <c r="J22" s="14">
        <f t="shared" si="21"/>
        <v>694.87000000000012</v>
      </c>
      <c r="K22" s="14">
        <f t="shared" si="21"/>
        <v>694.87000000000012</v>
      </c>
      <c r="L22" s="14">
        <f>1263.4*0.6</f>
        <v>758.04000000000008</v>
      </c>
      <c r="M22" s="14">
        <f>1263.4*0.6</f>
        <v>758.04000000000008</v>
      </c>
      <c r="N22" s="14">
        <f>SUM(B22:M22)</f>
        <v>8464.7800000000007</v>
      </c>
    </row>
    <row r="23" spans="1:14" ht="22.5" customHeight="1" thickBot="1" x14ac:dyDescent="0.3">
      <c r="A23" s="9" t="s">
        <v>2</v>
      </c>
      <c r="B23" s="14">
        <f>1263.4*0.17</f>
        <v>214.77800000000002</v>
      </c>
      <c r="C23" s="14">
        <f t="shared" ref="C23:M23" si="22">1263.4*0.17</f>
        <v>214.77800000000002</v>
      </c>
      <c r="D23" s="14">
        <f t="shared" si="22"/>
        <v>214.77800000000002</v>
      </c>
      <c r="E23" s="14">
        <f t="shared" si="22"/>
        <v>214.77800000000002</v>
      </c>
      <c r="F23" s="14">
        <f t="shared" si="22"/>
        <v>214.77800000000002</v>
      </c>
      <c r="G23" s="14">
        <f t="shared" si="22"/>
        <v>214.77800000000002</v>
      </c>
      <c r="H23" s="14">
        <f t="shared" si="22"/>
        <v>214.77800000000002</v>
      </c>
      <c r="I23" s="14">
        <f t="shared" si="22"/>
        <v>214.77800000000002</v>
      </c>
      <c r="J23" s="14">
        <f t="shared" si="22"/>
        <v>214.77800000000002</v>
      </c>
      <c r="K23" s="14">
        <f t="shared" si="22"/>
        <v>214.77800000000002</v>
      </c>
      <c r="L23" s="14">
        <f t="shared" si="22"/>
        <v>214.77800000000002</v>
      </c>
      <c r="M23" s="14">
        <f t="shared" si="22"/>
        <v>214.77800000000002</v>
      </c>
      <c r="N23" s="14">
        <f t="shared" ref="N23:N34" si="23">SUM(B23:M23)</f>
        <v>2577.3360000000002</v>
      </c>
    </row>
    <row r="24" spans="1:14" ht="21" customHeight="1" thickBot="1" x14ac:dyDescent="0.3">
      <c r="A24" s="9" t="s">
        <v>3</v>
      </c>
      <c r="B24" s="14">
        <f>23538*2.3%</f>
        <v>541.37400000000002</v>
      </c>
      <c r="C24" s="14">
        <f>22999.61*2.3%</f>
        <v>528.99103000000002</v>
      </c>
      <c r="D24" s="14">
        <f>25240.61*2.3%</f>
        <v>580.53403000000003</v>
      </c>
      <c r="E24" s="14">
        <f>23607.08*2.3%</f>
        <v>542.96284000000003</v>
      </c>
      <c r="F24" s="14">
        <f>24129.12*2.3%</f>
        <v>554.96975999999995</v>
      </c>
      <c r="G24" s="14">
        <f>24792.19*2.3%</f>
        <v>570.22037</v>
      </c>
      <c r="H24" s="14">
        <f>22981.6*2.3%</f>
        <v>528.57679999999993</v>
      </c>
      <c r="I24" s="14">
        <f>26454.85*2.3%</f>
        <v>608.46154999999999</v>
      </c>
      <c r="J24" s="14">
        <f>24447.16*2.3%</f>
        <v>562.28467999999998</v>
      </c>
      <c r="K24" s="14">
        <f>28390.66*2.3%</f>
        <v>652.98518000000001</v>
      </c>
      <c r="L24" s="14">
        <f>30769.52*2.3%</f>
        <v>707.69895999999994</v>
      </c>
      <c r="M24" s="14">
        <f>27729.73*2.3%</f>
        <v>637.78378999999995</v>
      </c>
      <c r="N24" s="14">
        <f t="shared" si="23"/>
        <v>7016.8429899999992</v>
      </c>
    </row>
    <row r="25" spans="1:14" ht="23.25" customHeight="1" thickBot="1" x14ac:dyDescent="0.3">
      <c r="A25" s="9" t="s">
        <v>4</v>
      </c>
      <c r="B25" s="14">
        <f>42350.75*3%</f>
        <v>1270.5225</v>
      </c>
      <c r="C25" s="14">
        <f>24405.04*3%</f>
        <v>732.15120000000002</v>
      </c>
      <c r="D25" s="14">
        <f>20964.04*3%</f>
        <v>628.9212</v>
      </c>
      <c r="E25" s="14">
        <f>22392.52*3%</f>
        <v>671.77559999999994</v>
      </c>
      <c r="F25" s="14">
        <f>21796.81*3%</f>
        <v>653.90430000000003</v>
      </c>
      <c r="G25" s="14">
        <f>24280.65*3%</f>
        <v>728.41949999999997</v>
      </c>
      <c r="H25" s="14">
        <f>19513.54*3%</f>
        <v>585.40620000000001</v>
      </c>
      <c r="I25" s="14">
        <f>27597.43*3%</f>
        <v>827.92290000000003</v>
      </c>
      <c r="J25" s="14">
        <f>24683.85*3%</f>
        <v>740.51549999999997</v>
      </c>
      <c r="K25" s="14">
        <f>22312.94*3%</f>
        <v>669.38819999999998</v>
      </c>
      <c r="L25" s="14">
        <f>24216.41*3%</f>
        <v>726.4923</v>
      </c>
      <c r="M25" s="14">
        <f>32033.18*3%</f>
        <v>960.99540000000002</v>
      </c>
      <c r="N25" s="14">
        <f t="shared" si="23"/>
        <v>9196.4148000000005</v>
      </c>
    </row>
    <row r="26" spans="1:14" ht="23.25" customHeight="1" thickBot="1" x14ac:dyDescent="0.3">
      <c r="A26" s="6" t="s">
        <v>9</v>
      </c>
      <c r="B26" s="14">
        <f>1263.4*8.5</f>
        <v>10738.900000000001</v>
      </c>
      <c r="C26" s="14">
        <f t="shared" ref="C26:F26" si="24">1263.4*8.5</f>
        <v>10738.900000000001</v>
      </c>
      <c r="D26" s="14">
        <f t="shared" si="24"/>
        <v>10738.900000000001</v>
      </c>
      <c r="E26" s="14">
        <f t="shared" si="24"/>
        <v>10738.900000000001</v>
      </c>
      <c r="F26" s="14">
        <f t="shared" si="24"/>
        <v>10738.900000000001</v>
      </c>
      <c r="G26" s="14">
        <f>1263.4*8.5</f>
        <v>10738.900000000001</v>
      </c>
      <c r="H26" s="14">
        <f>1263.4*9.7</f>
        <v>12254.98</v>
      </c>
      <c r="I26" s="14">
        <f t="shared" ref="I26:M26" si="25">1263.4*9.7</f>
        <v>12254.98</v>
      </c>
      <c r="J26" s="14">
        <f t="shared" si="25"/>
        <v>12254.98</v>
      </c>
      <c r="K26" s="14">
        <f t="shared" si="25"/>
        <v>12254.98</v>
      </c>
      <c r="L26" s="14">
        <f t="shared" si="25"/>
        <v>12254.98</v>
      </c>
      <c r="M26" s="14">
        <f t="shared" si="25"/>
        <v>12254.98</v>
      </c>
      <c r="N26" s="14">
        <f t="shared" si="23"/>
        <v>137963.28</v>
      </c>
    </row>
    <row r="27" spans="1:14" ht="26.25" customHeight="1" thickBot="1" x14ac:dyDescent="0.3">
      <c r="A27" s="9" t="s">
        <v>18</v>
      </c>
      <c r="B27" s="14">
        <v>0</v>
      </c>
      <c r="C27" s="14">
        <v>0</v>
      </c>
      <c r="D27" s="14">
        <v>0</v>
      </c>
      <c r="E27" s="14">
        <v>0</v>
      </c>
      <c r="F27" s="14">
        <f>267.06+0</f>
        <v>267.06</v>
      </c>
      <c r="G27" s="14">
        <v>0</v>
      </c>
      <c r="H27" s="14">
        <v>0</v>
      </c>
      <c r="I27" s="14">
        <v>0</v>
      </c>
      <c r="J27" s="14">
        <f>20.81+1.2</f>
        <v>22.009999999999998</v>
      </c>
      <c r="K27" s="14">
        <v>0</v>
      </c>
      <c r="L27" s="14">
        <v>0</v>
      </c>
      <c r="M27" s="14">
        <f>1564.03+198.5</f>
        <v>1762.53</v>
      </c>
      <c r="N27" s="14">
        <f t="shared" si="23"/>
        <v>2051.6</v>
      </c>
    </row>
    <row r="28" spans="1:14" ht="25.5" customHeight="1" thickBot="1" x14ac:dyDescent="0.3">
      <c r="A28" s="9" t="s">
        <v>19</v>
      </c>
      <c r="B28" s="14">
        <v>80.08</v>
      </c>
      <c r="C28" s="14">
        <v>80.08</v>
      </c>
      <c r="D28" s="14">
        <v>80.08</v>
      </c>
      <c r="E28" s="14">
        <v>80.08</v>
      </c>
      <c r="F28" s="14">
        <v>80.08</v>
      </c>
      <c r="G28" s="14">
        <v>80.08</v>
      </c>
      <c r="H28" s="14">
        <v>83.11</v>
      </c>
      <c r="I28" s="14">
        <v>83.11</v>
      </c>
      <c r="J28" s="14">
        <v>83.11</v>
      </c>
      <c r="K28" s="14">
        <v>83.11</v>
      </c>
      <c r="L28" s="14">
        <v>83.11</v>
      </c>
      <c r="M28" s="14">
        <v>112.55</v>
      </c>
      <c r="N28" s="14">
        <f t="shared" si="23"/>
        <v>1008.5799999999999</v>
      </c>
    </row>
    <row r="29" spans="1:14" ht="23.25" customHeight="1" thickBot="1" x14ac:dyDescent="0.3">
      <c r="A29" s="9" t="s">
        <v>20</v>
      </c>
      <c r="B29" s="14">
        <v>18</v>
      </c>
      <c r="C29" s="14">
        <v>2259</v>
      </c>
      <c r="D29" s="14">
        <v>625.5</v>
      </c>
      <c r="E29" s="14">
        <v>1147.5</v>
      </c>
      <c r="F29" s="14">
        <v>1543.5</v>
      </c>
      <c r="G29" s="14">
        <v>0</v>
      </c>
      <c r="H29" s="14">
        <v>3154.32</v>
      </c>
      <c r="I29" s="14">
        <v>1146.5999999999999</v>
      </c>
      <c r="J29" s="14">
        <v>673.92</v>
      </c>
      <c r="K29" s="14">
        <v>3074.75</v>
      </c>
      <c r="L29" s="14">
        <v>0</v>
      </c>
      <c r="M29" s="14">
        <v>265.2</v>
      </c>
      <c r="N29" s="14">
        <f t="shared" si="23"/>
        <v>13908.29</v>
      </c>
    </row>
    <row r="30" spans="1:14" ht="26.25" customHeight="1" thickBot="1" x14ac:dyDescent="0.3">
      <c r="A30" s="9" t="s">
        <v>23</v>
      </c>
      <c r="B30" s="14">
        <v>109.79</v>
      </c>
      <c r="C30" s="14">
        <v>109.79</v>
      </c>
      <c r="D30" s="14">
        <v>109.79</v>
      </c>
      <c r="E30" s="14">
        <v>109.79</v>
      </c>
      <c r="F30" s="14">
        <v>109.79</v>
      </c>
      <c r="G30" s="14">
        <v>109.79</v>
      </c>
      <c r="H30" s="14">
        <v>109.79</v>
      </c>
      <c r="I30" s="14">
        <v>109.79</v>
      </c>
      <c r="J30" s="14">
        <v>109.79</v>
      </c>
      <c r="K30" s="14">
        <v>109.79</v>
      </c>
      <c r="L30" s="14">
        <v>109.79</v>
      </c>
      <c r="M30" s="14">
        <v>144.78</v>
      </c>
      <c r="N30" s="14">
        <f t="shared" si="23"/>
        <v>1352.4699999999998</v>
      </c>
    </row>
    <row r="31" spans="1:14" ht="22.5" customHeight="1" thickBot="1" x14ac:dyDescent="0.3">
      <c r="A31" s="9" t="s">
        <v>6</v>
      </c>
      <c r="B31" s="14">
        <f>1263.4*2.63</f>
        <v>3322.7420000000002</v>
      </c>
      <c r="C31" s="14">
        <f t="shared" ref="C31:J31" si="26">1263.4*2.63</f>
        <v>3322.7420000000002</v>
      </c>
      <c r="D31" s="14">
        <f t="shared" si="26"/>
        <v>3322.7420000000002</v>
      </c>
      <c r="E31" s="14">
        <f t="shared" si="26"/>
        <v>3322.7420000000002</v>
      </c>
      <c r="F31" s="14">
        <f t="shared" si="26"/>
        <v>3322.7420000000002</v>
      </c>
      <c r="G31" s="14">
        <f t="shared" si="26"/>
        <v>3322.7420000000002</v>
      </c>
      <c r="H31" s="14">
        <f t="shared" si="26"/>
        <v>3322.7420000000002</v>
      </c>
      <c r="I31" s="14">
        <f t="shared" si="26"/>
        <v>3322.7420000000002</v>
      </c>
      <c r="J31" s="14">
        <f t="shared" si="26"/>
        <v>3322.7420000000002</v>
      </c>
      <c r="K31" s="14">
        <f>1263.4*3.15</f>
        <v>3979.71</v>
      </c>
      <c r="L31" s="14">
        <f t="shared" ref="L31:M31" si="27">1263.4*3.15</f>
        <v>3979.71</v>
      </c>
      <c r="M31" s="14">
        <f t="shared" si="27"/>
        <v>3979.71</v>
      </c>
      <c r="N31" s="14">
        <f t="shared" si="23"/>
        <v>41843.80799999999</v>
      </c>
    </row>
    <row r="32" spans="1:14" ht="22.5" customHeight="1" thickBot="1" x14ac:dyDescent="0.3">
      <c r="A32" s="9" t="s">
        <v>25</v>
      </c>
      <c r="B32" s="14">
        <f>1140</f>
        <v>1140</v>
      </c>
      <c r="C32" s="14">
        <f>1140</f>
        <v>1140</v>
      </c>
      <c r="D32" s="14">
        <f>1140</f>
        <v>1140</v>
      </c>
      <c r="E32" s="14">
        <f>1140</f>
        <v>1140</v>
      </c>
      <c r="F32" s="14">
        <f>1140</f>
        <v>1140</v>
      </c>
      <c r="G32" s="14">
        <v>900</v>
      </c>
      <c r="H32" s="14">
        <v>900</v>
      </c>
      <c r="I32" s="14">
        <v>900</v>
      </c>
      <c r="J32" s="14">
        <v>900</v>
      </c>
      <c r="K32" s="14">
        <f>900</f>
        <v>900</v>
      </c>
      <c r="L32" s="14">
        <f>900</f>
        <v>900</v>
      </c>
      <c r="M32" s="14">
        <f>900</f>
        <v>900</v>
      </c>
      <c r="N32" s="14">
        <f t="shared" si="23"/>
        <v>12000</v>
      </c>
    </row>
    <row r="33" spans="1:14" ht="24.75" customHeight="1" thickBot="1" x14ac:dyDescent="0.3">
      <c r="A33" s="9" t="s">
        <v>24</v>
      </c>
      <c r="B33" s="14">
        <v>0</v>
      </c>
      <c r="C33" s="14">
        <v>0</v>
      </c>
      <c r="D33" s="14">
        <v>0</v>
      </c>
      <c r="E33" s="14">
        <v>0</v>
      </c>
      <c r="F33" s="14">
        <v>4220.6400000000003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f t="shared" si="23"/>
        <v>4220.6400000000003</v>
      </c>
    </row>
    <row r="34" spans="1:14" ht="24" customHeight="1" thickBot="1" x14ac:dyDescent="0.3">
      <c r="A34" s="9" t="s">
        <v>10</v>
      </c>
      <c r="B34" s="14">
        <v>0</v>
      </c>
      <c r="C34" s="14">
        <v>0</v>
      </c>
      <c r="D34" s="14">
        <v>0</v>
      </c>
      <c r="E34" s="14">
        <f>4557.8+1402.1+2338.6</f>
        <v>8298.5</v>
      </c>
      <c r="F34" s="14">
        <v>0</v>
      </c>
      <c r="G34" s="14">
        <f>1261.9</f>
        <v>1261.9000000000001</v>
      </c>
      <c r="H34" s="14">
        <v>0</v>
      </c>
      <c r="I34" s="14">
        <f>586.6+5447+2488.6</f>
        <v>8522.2000000000007</v>
      </c>
      <c r="J34" s="14">
        <v>2124.5</v>
      </c>
      <c r="K34" s="14">
        <v>0</v>
      </c>
      <c r="L34" s="14">
        <f>775.8</f>
        <v>775.8</v>
      </c>
      <c r="M34" s="14">
        <v>0</v>
      </c>
      <c r="N34" s="14">
        <f t="shared" si="23"/>
        <v>20982.899999999998</v>
      </c>
    </row>
    <row r="35" spans="1:14" ht="22.5" customHeight="1" thickBot="1" x14ac:dyDescent="0.3">
      <c r="A35" s="5" t="s">
        <v>21</v>
      </c>
      <c r="B35" s="13">
        <f>SUM(B22:B34)</f>
        <v>18131.056500000002</v>
      </c>
      <c r="C35" s="13">
        <f t="shared" ref="C35:L35" si="28">SUM(C22:C34)</f>
        <v>19821.302230000001</v>
      </c>
      <c r="D35" s="13">
        <f t="shared" si="28"/>
        <v>18136.115230000003</v>
      </c>
      <c r="E35" s="13">
        <f t="shared" si="28"/>
        <v>26961.898440000004</v>
      </c>
      <c r="F35" s="13">
        <f t="shared" si="28"/>
        <v>23541.234060000003</v>
      </c>
      <c r="G35" s="13">
        <f t="shared" si="28"/>
        <v>18621.699870000004</v>
      </c>
      <c r="H35" s="13">
        <f t="shared" si="28"/>
        <v>21848.573000000004</v>
      </c>
      <c r="I35" s="13">
        <f t="shared" si="28"/>
        <v>28685.454450000001</v>
      </c>
      <c r="J35" s="13">
        <f t="shared" si="28"/>
        <v>21703.500180000003</v>
      </c>
      <c r="K35" s="13">
        <f t="shared" si="28"/>
        <v>22634.361380000002</v>
      </c>
      <c r="L35" s="13">
        <f t="shared" si="28"/>
        <v>20510.399259999998</v>
      </c>
      <c r="M35" s="13">
        <f>SUM(M22:M34)</f>
        <v>21991.347189999997</v>
      </c>
      <c r="N35" s="13">
        <f>SUM(N22:N34)</f>
        <v>262586.94179000001</v>
      </c>
    </row>
    <row r="36" spans="1:14" ht="23.25" customHeight="1" thickBot="1" x14ac:dyDescent="0.3">
      <c r="A36" s="6" t="s">
        <v>5</v>
      </c>
      <c r="B36" s="16">
        <f t="shared" ref="B36:N36" si="29">B14-B35</f>
        <v>24219.693499999998</v>
      </c>
      <c r="C36" s="16">
        <f t="shared" si="29"/>
        <v>4583.7377699999997</v>
      </c>
      <c r="D36" s="16">
        <f t="shared" si="29"/>
        <v>2827.9247699999942</v>
      </c>
      <c r="E36" s="16">
        <f t="shared" si="29"/>
        <v>-4569.3784400000077</v>
      </c>
      <c r="F36" s="16">
        <f t="shared" si="29"/>
        <v>-1744.4240600000048</v>
      </c>
      <c r="G36" s="16">
        <f t="shared" si="29"/>
        <v>5658.9501299999974</v>
      </c>
      <c r="H36" s="16">
        <f t="shared" si="29"/>
        <v>-2335.0329999999994</v>
      </c>
      <c r="I36" s="16">
        <f t="shared" si="29"/>
        <v>-1088.0244500000044</v>
      </c>
      <c r="J36" s="16">
        <f t="shared" si="29"/>
        <v>2980.3498199999995</v>
      </c>
      <c r="K36" s="16">
        <f t="shared" si="29"/>
        <v>-321.42137999999977</v>
      </c>
      <c r="L36" s="16">
        <f t="shared" si="29"/>
        <v>3706.0107400000015</v>
      </c>
      <c r="M36" s="16">
        <f t="shared" si="29"/>
        <v>10041.83281</v>
      </c>
      <c r="N36" s="16">
        <f t="shared" si="29"/>
        <v>43960.218209999963</v>
      </c>
    </row>
    <row r="37" spans="1:14" ht="23.25" customHeight="1" thickBot="1" x14ac:dyDescent="0.3">
      <c r="A37" s="6" t="s">
        <v>7</v>
      </c>
      <c r="B37" s="20">
        <f t="shared" ref="B37:N37" si="30">B5+B36</f>
        <v>-333602.21649999998</v>
      </c>
      <c r="C37" s="20">
        <f t="shared" si="30"/>
        <v>-329018.47872999997</v>
      </c>
      <c r="D37" s="20">
        <f t="shared" si="30"/>
        <v>-326190.55395999999</v>
      </c>
      <c r="E37" s="20">
        <f t="shared" si="30"/>
        <v>-330759.93239999999</v>
      </c>
      <c r="F37" s="20">
        <f t="shared" si="30"/>
        <v>-332504.35645999998</v>
      </c>
      <c r="G37" s="20">
        <f t="shared" si="30"/>
        <v>-326845.40632999997</v>
      </c>
      <c r="H37" s="20">
        <f t="shared" si="30"/>
        <v>-329180.43932999996</v>
      </c>
      <c r="I37" s="20">
        <f t="shared" si="30"/>
        <v>-330268.46377999999</v>
      </c>
      <c r="J37" s="20">
        <f t="shared" si="30"/>
        <v>-327288.11395999999</v>
      </c>
      <c r="K37" s="20">
        <f t="shared" si="30"/>
        <v>-327609.53534</v>
      </c>
      <c r="L37" s="20">
        <f t="shared" si="30"/>
        <v>-323903.5246</v>
      </c>
      <c r="M37" s="20">
        <f t="shared" si="30"/>
        <v>-313861.69179000001</v>
      </c>
      <c r="N37" s="20">
        <f t="shared" si="30"/>
        <v>-313861.69179000001</v>
      </c>
    </row>
    <row r="38" spans="1:14" ht="27" customHeight="1" thickBot="1" x14ac:dyDescent="0.3">
      <c r="A38" s="8" t="s">
        <v>11</v>
      </c>
      <c r="B38" s="19">
        <f t="shared" ref="B38:N38" si="31">B6+B14-B7</f>
        <v>-70543.63</v>
      </c>
      <c r="C38" s="19">
        <f t="shared" si="31"/>
        <v>-69338.200000000012</v>
      </c>
      <c r="D38" s="19">
        <f t="shared" si="31"/>
        <v>-73814.770000000019</v>
      </c>
      <c r="E38" s="19">
        <f t="shared" si="31"/>
        <v>-75029.330000000016</v>
      </c>
      <c r="F38" s="19">
        <f t="shared" si="31"/>
        <v>-77361.640000000014</v>
      </c>
      <c r="G38" s="19">
        <f t="shared" si="31"/>
        <v>-77873.180000000022</v>
      </c>
      <c r="H38" s="19">
        <f t="shared" si="31"/>
        <v>-81341.24000000002</v>
      </c>
      <c r="I38" s="19">
        <f t="shared" si="31"/>
        <v>-80198.660000000033</v>
      </c>
      <c r="J38" s="19">
        <f t="shared" si="31"/>
        <v>-79961.97000000003</v>
      </c>
      <c r="K38" s="19">
        <f t="shared" si="31"/>
        <v>-86039.690000000031</v>
      </c>
      <c r="L38" s="19">
        <f t="shared" si="31"/>
        <v>-92592.800000000032</v>
      </c>
      <c r="M38" s="19">
        <f t="shared" si="31"/>
        <v>-88289.350000000035</v>
      </c>
      <c r="N38" s="19">
        <f t="shared" si="31"/>
        <v>-88289.350000000035</v>
      </c>
    </row>
  </sheetData>
  <mergeCells count="1">
    <mergeCell ref="A1:N1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2023-03-02T03:25:15Z</cp:lastPrinted>
  <dcterms:created xsi:type="dcterms:W3CDTF">2011-06-06T03:25:48Z</dcterms:created>
  <dcterms:modified xsi:type="dcterms:W3CDTF">2023-03-02T03:27:04Z</dcterms:modified>
</cp:coreProperties>
</file>