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K39" i="1" l="1"/>
  <c r="M39" i="1" l="1"/>
  <c r="L39" i="1" l="1"/>
  <c r="M36" i="1" l="1"/>
  <c r="L36" i="1" l="1"/>
  <c r="K36" i="1" l="1"/>
  <c r="M29" i="1" l="1"/>
  <c r="M17" i="1"/>
  <c r="M28" i="1"/>
  <c r="M8" i="1"/>
  <c r="L29" i="1" l="1"/>
  <c r="L17" i="1"/>
  <c r="L28" i="1"/>
  <c r="L8" i="1"/>
  <c r="K29" i="1" l="1"/>
  <c r="K17" i="1"/>
  <c r="K28" i="1"/>
  <c r="K8" i="1"/>
  <c r="L35" i="1" l="1"/>
  <c r="M35" i="1"/>
  <c r="K35" i="1"/>
  <c r="L30" i="1"/>
  <c r="M30" i="1"/>
  <c r="K30" i="1"/>
  <c r="K27" i="1"/>
  <c r="L27" i="1"/>
  <c r="M27" i="1"/>
  <c r="K26" i="1"/>
  <c r="L26" i="1"/>
  <c r="M26" i="1"/>
  <c r="C35" i="1" l="1"/>
  <c r="D35" i="1"/>
  <c r="E35" i="1"/>
  <c r="F35" i="1"/>
  <c r="G35" i="1"/>
  <c r="H35" i="1"/>
  <c r="I35" i="1"/>
  <c r="J35" i="1"/>
  <c r="B35" i="1"/>
  <c r="J39" i="1" l="1"/>
  <c r="I39" i="1" l="1"/>
  <c r="J36" i="1" l="1"/>
  <c r="I36" i="1" l="1"/>
  <c r="H36" i="1" l="1"/>
  <c r="J29" i="1" l="1"/>
  <c r="J17" i="1"/>
  <c r="J28" i="1"/>
  <c r="J8" i="1"/>
  <c r="I29" i="1" l="1"/>
  <c r="I17" i="1"/>
  <c r="I28" i="1"/>
  <c r="I8" i="1"/>
  <c r="H29" i="1" l="1"/>
  <c r="H17" i="1"/>
  <c r="H28" i="1"/>
  <c r="H8" i="1"/>
  <c r="H27" i="1" l="1"/>
  <c r="I27" i="1"/>
  <c r="J27" i="1"/>
  <c r="H26" i="1"/>
  <c r="I26" i="1"/>
  <c r="J26" i="1"/>
  <c r="G26" i="1"/>
  <c r="G36" i="1" l="1"/>
  <c r="F36" i="1" l="1"/>
  <c r="E36" i="1" l="1"/>
  <c r="G39" i="1" l="1"/>
  <c r="G31" i="1" l="1"/>
  <c r="F31" i="1"/>
  <c r="E31" i="1"/>
  <c r="G29" i="1" l="1"/>
  <c r="G17" i="1"/>
  <c r="G28" i="1"/>
  <c r="G8" i="1"/>
  <c r="F29" i="1" l="1"/>
  <c r="F17" i="1"/>
  <c r="F28" i="1"/>
  <c r="F8" i="1"/>
  <c r="F39" i="1" l="1"/>
  <c r="E29" i="1" l="1"/>
  <c r="E17" i="1"/>
  <c r="E28" i="1"/>
  <c r="E8" i="1"/>
  <c r="E39" i="1" l="1"/>
  <c r="E27" i="1" l="1"/>
  <c r="F27" i="1"/>
  <c r="G27" i="1"/>
  <c r="E26" i="1"/>
  <c r="F26" i="1"/>
  <c r="D36" i="1" l="1"/>
  <c r="C36" i="1"/>
  <c r="C31" i="1" l="1"/>
  <c r="D29" i="1" l="1"/>
  <c r="D17" i="1"/>
  <c r="D28" i="1"/>
  <c r="D8" i="1"/>
  <c r="C39" i="1" l="1"/>
  <c r="C29" i="1" l="1"/>
  <c r="C17" i="1"/>
  <c r="C28" i="1"/>
  <c r="C8" i="1"/>
  <c r="B39" i="1" l="1"/>
  <c r="B29" i="1" l="1"/>
  <c r="B17" i="1"/>
  <c r="B28" i="1"/>
  <c r="B8" i="1"/>
  <c r="B36" i="1" l="1"/>
  <c r="C27" i="1" l="1"/>
  <c r="D27" i="1"/>
  <c r="C26" i="1"/>
  <c r="D26" i="1"/>
  <c r="B27" i="1"/>
  <c r="B26" i="1"/>
  <c r="N23" i="1" l="1"/>
  <c r="N14" i="1"/>
  <c r="N6" i="1" l="1"/>
  <c r="N5" i="1"/>
  <c r="N8" i="1" l="1"/>
  <c r="L7" i="1"/>
  <c r="N26" i="1"/>
  <c r="N27" i="1"/>
  <c r="N30" i="1"/>
  <c r="N31" i="1"/>
  <c r="N32" i="1"/>
  <c r="N33" i="1"/>
  <c r="N34" i="1"/>
  <c r="N35" i="1"/>
  <c r="N36" i="1"/>
  <c r="N37" i="1"/>
  <c r="N38" i="1"/>
  <c r="N18" i="1"/>
  <c r="N19" i="1"/>
  <c r="N20" i="1"/>
  <c r="N21" i="1"/>
  <c r="N22" i="1"/>
  <c r="N24" i="1"/>
  <c r="N17" i="1"/>
  <c r="K16" i="1"/>
  <c r="L16" i="1"/>
  <c r="M16" i="1"/>
  <c r="N9" i="1"/>
  <c r="N10" i="1"/>
  <c r="N11" i="1"/>
  <c r="N12" i="1"/>
  <c r="N13" i="1"/>
  <c r="N15" i="1"/>
  <c r="K7" i="1"/>
  <c r="M7" i="1"/>
  <c r="M40" i="1" l="1"/>
  <c r="M41" i="1" s="1"/>
  <c r="L40" i="1"/>
  <c r="L41" i="1" s="1"/>
  <c r="K40" i="1"/>
  <c r="K41" i="1" s="1"/>
  <c r="N29" i="1" l="1"/>
  <c r="H16" i="1" l="1"/>
  <c r="I16" i="1"/>
  <c r="J16" i="1"/>
  <c r="H7" i="1"/>
  <c r="J7" i="1"/>
  <c r="H40" i="1" l="1"/>
  <c r="J40" i="1"/>
  <c r="J41" i="1" s="1"/>
  <c r="I40" i="1"/>
  <c r="I41" i="1" s="1"/>
  <c r="I7" i="1"/>
  <c r="N39" i="1"/>
  <c r="H41" i="1" l="1"/>
  <c r="E16" i="1"/>
  <c r="F16" i="1"/>
  <c r="G16" i="1"/>
  <c r="F7" i="1"/>
  <c r="G7" i="1"/>
  <c r="G40" i="1" l="1"/>
  <c r="G41" i="1" s="1"/>
  <c r="F40" i="1"/>
  <c r="F41" i="1" s="1"/>
  <c r="N28" i="1"/>
  <c r="E40" i="1"/>
  <c r="E7" i="1"/>
  <c r="D16" i="1"/>
  <c r="D40" i="1" s="1"/>
  <c r="D41" i="1" s="1"/>
  <c r="D7" i="1"/>
  <c r="C16" i="1"/>
  <c r="C7" i="1"/>
  <c r="B16" i="1"/>
  <c r="B7" i="1"/>
  <c r="N7" i="1" l="1"/>
  <c r="N16" i="1"/>
  <c r="E41" i="1"/>
  <c r="B43" i="1"/>
  <c r="C6" i="1" s="1"/>
  <c r="C43" i="1" s="1"/>
  <c r="D6" i="1" s="1"/>
  <c r="D43" i="1" l="1"/>
  <c r="E6" i="1" s="1"/>
  <c r="E43" i="1" s="1"/>
  <c r="F6" i="1" s="1"/>
  <c r="F43" i="1" s="1"/>
  <c r="G6" i="1" s="1"/>
  <c r="B40" i="1"/>
  <c r="C40" i="1"/>
  <c r="C41" i="1" s="1"/>
  <c r="N43" i="1"/>
  <c r="G43" i="1" l="1"/>
  <c r="H6" i="1" s="1"/>
  <c r="H43" i="1" s="1"/>
  <c r="I6" i="1" s="1"/>
  <c r="I43" i="1" s="1"/>
  <c r="J6" i="1" s="1"/>
  <c r="J43" i="1" s="1"/>
  <c r="K6" i="1" s="1"/>
  <c r="K43" i="1" s="1"/>
  <c r="L6" i="1" s="1"/>
  <c r="L43" i="1" s="1"/>
  <c r="M6" i="1" s="1"/>
  <c r="M43" i="1" s="1"/>
  <c r="N40" i="1"/>
  <c r="N42" i="1" s="1"/>
  <c r="B41" i="1"/>
  <c r="B42" i="1" s="1"/>
  <c r="N41" i="1" l="1"/>
  <c r="C42" i="1"/>
  <c r="D42" i="1" s="1"/>
  <c r="C5" i="1"/>
  <c r="D5" i="1" l="1"/>
  <c r="E5" i="1" l="1"/>
  <c r="E42" i="1"/>
  <c r="F5" i="1" l="1"/>
  <c r="F42" i="1"/>
  <c r="G42" i="1" s="1"/>
  <c r="G5" i="1" l="1"/>
  <c r="H5" i="1" l="1"/>
  <c r="H42" i="1"/>
  <c r="I5" i="1" l="1"/>
  <c r="I42" i="1"/>
  <c r="J42" i="1" l="1"/>
  <c r="J5" i="1"/>
  <c r="K5" i="1" l="1"/>
  <c r="K42" i="1"/>
  <c r="L42" i="1" l="1"/>
  <c r="L5" i="1"/>
  <c r="M5" i="1" l="1"/>
  <c r="M42" i="1"/>
</calcChain>
</file>

<file path=xl/sharedStrings.xml><?xml version="1.0" encoding="utf-8"?>
<sst xmlns="http://schemas.openxmlformats.org/spreadsheetml/2006/main" count="54" uniqueCount="44">
  <si>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</si>
  <si>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</si>
  <si>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</si>
  <si>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</si>
  <si>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</si>
  <si>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</si>
  <si>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</si>
  <si>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</si>
  <si>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</si>
  <si>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</si>
  <si>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</si>
  <si>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</si>
  <si>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</si>
  <si>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</si>
  <si>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</si>
  <si>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</si>
  <si>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</si>
  <si>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</si>
  <si>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</si>
  <si>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</si>
  <si>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</si>
  <si>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</si>
  <si>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</si>
  <si>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</si>
  <si>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</si>
  <si>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</si>
  <si>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Вознаграждение, координация с советом МКД</t>
  </si>
  <si>
    <t>Отведение сточных вод ОИ</t>
  </si>
  <si>
    <t>Установка пластиковых окон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</si>
  <si>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</si>
  <si>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</si>
  <si>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</si>
  <si>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</si>
  <si>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</t>
  </si>
  <si>
    <t>Май 2021г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</si>
  <si>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</si>
  <si>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</si>
  <si>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</si>
  <si>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</si>
  <si>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</si>
  <si>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</si>
  <si>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</si>
  <si>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</t>
  </si>
  <si>
    <t xml:space="preserve">                 ОТЧЕТ по дому Васильева, 69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</si>
</sst>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4.109375" customWidth="1"/>
    <col min="3" max="3" width="14.33203125" customWidth="1"/>
    <col min="4" max="4" width="15.5546875" customWidth="1"/>
    <col min="5" max="5" width="15.88671875" customWidth="1"/>
    <col min="6" max="6" width="14.33203125" customWidth="1"/>
    <col min="7" max="7" width="14.6640625" customWidth="1"/>
    <col min="8" max="8" width="14.44140625" customWidth="1"/>
    <col min="9" max="13" width="13.5546875" customWidth="1"/>
    <col min="14" max="14" width="16.5546875" customWidth="1"/>
  </cols>
  <sheetData>
    <row r="1" spans="1:18" ht="20.25" customHeight="1" x14ac:dyDescent="0.35">
      <c r="A1" s="22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-530879.17000000004</v>
      </c>
      <c r="C5" s="8">
        <f t="shared" ref="C5:D6" si="0">B42</f>
        <v>-537960.09209000005</v>
      </c>
      <c r="D5" s="8">
        <f t="shared" si="0"/>
        <v>-547606.25908000011</v>
      </c>
      <c r="E5" s="8">
        <f t="shared" ref="E5:E6" si="1">D42</f>
        <v>-539726.74038000009</v>
      </c>
      <c r="F5" s="8">
        <f t="shared" ref="F5:F6" si="2">E42</f>
        <v>-529191.99464000005</v>
      </c>
      <c r="G5" s="8">
        <f t="shared" ref="G5:G6" si="3">F42</f>
        <v>-492716.44675000006</v>
      </c>
      <c r="H5" s="8">
        <f t="shared" ref="H5:H6" si="4">G42</f>
        <v>-516431.33268000005</v>
      </c>
      <c r="I5" s="8">
        <f t="shared" ref="I5:I6" si="5">H42</f>
        <v>-513016.10143000004</v>
      </c>
      <c r="J5" s="8">
        <f t="shared" ref="J5:J6" si="6">I42</f>
        <v>-555167.69611999998</v>
      </c>
      <c r="K5" s="8">
        <f t="shared" ref="K5:K6" si="7">J42</f>
        <v>-556535.42466999998</v>
      </c>
      <c r="L5" s="8">
        <f t="shared" ref="L5:L6" si="8">K42</f>
        <v>-527302.41073</v>
      </c>
      <c r="M5" s="8">
        <f t="shared" ref="M5:M6" si="9">L42</f>
        <v>-524031.78466</v>
      </c>
      <c r="N5" s="8">
        <f>B5</f>
        <v>-530879.17000000004</v>
      </c>
    </row>
    <row r="6" spans="1:18" ht="21" customHeight="1" thickBot="1" x14ac:dyDescent="0.3">
      <c r="A6" s="7" t="s">
        <v>13</v>
      </c>
      <c r="B6" s="8">
        <v>-379646.25</v>
      </c>
      <c r="C6" s="8">
        <f t="shared" si="0"/>
        <v>-390983.54</v>
      </c>
      <c r="D6" s="8">
        <f t="shared" si="0"/>
        <v>-403744.26</v>
      </c>
      <c r="E6" s="8">
        <f t="shared" si="1"/>
        <v>-418277</v>
      </c>
      <c r="F6" s="8">
        <f t="shared" si="2"/>
        <v>-414716.12</v>
      </c>
      <c r="G6" s="8">
        <f t="shared" si="3"/>
        <v>-383701.24</v>
      </c>
      <c r="H6" s="8">
        <f t="shared" si="4"/>
        <v>-391932.56</v>
      </c>
      <c r="I6" s="8">
        <f t="shared" si="5"/>
        <v>-413288.49</v>
      </c>
      <c r="J6" s="8">
        <f t="shared" si="6"/>
        <v>-370713.22000000003</v>
      </c>
      <c r="K6" s="8">
        <f t="shared" si="7"/>
        <v>-377161.80000000005</v>
      </c>
      <c r="L6" s="8">
        <f t="shared" si="8"/>
        <v>-351351.81000000006</v>
      </c>
      <c r="M6" s="8">
        <f t="shared" si="9"/>
        <v>-358561.59</v>
      </c>
      <c r="N6" s="8">
        <f>B6</f>
        <v>-379646.25</v>
      </c>
    </row>
    <row r="7" spans="1:18" ht="20.25" customHeight="1" thickBot="1" x14ac:dyDescent="0.3">
      <c r="A7" s="9" t="s">
        <v>12</v>
      </c>
      <c r="B7" s="10">
        <f>SUM(B8:B15)</f>
        <v>49968.430000000008</v>
      </c>
      <c r="C7" s="10">
        <f>SUM(C8:C15)</f>
        <v>49551.030000000006</v>
      </c>
      <c r="D7" s="10">
        <f>SUM(D8:D15)</f>
        <v>59271.500000000007</v>
      </c>
      <c r="E7" s="10">
        <f t="shared" ref="E7:M7" si="10">SUM(E8:E15)</f>
        <v>48917.62</v>
      </c>
      <c r="F7" s="10">
        <f t="shared" si="10"/>
        <v>48916.070000000007</v>
      </c>
      <c r="G7" s="10">
        <f t="shared" si="10"/>
        <v>53047.01</v>
      </c>
      <c r="H7" s="10">
        <f t="shared" si="10"/>
        <v>60600.05</v>
      </c>
      <c r="I7" s="10">
        <f t="shared" si="10"/>
        <v>50237.030000000006</v>
      </c>
      <c r="J7" s="10">
        <f t="shared" si="10"/>
        <v>50158.15</v>
      </c>
      <c r="K7" s="10">
        <f t="shared" si="10"/>
        <v>52965.120000000003</v>
      </c>
      <c r="L7" s="10">
        <f t="shared" si="10"/>
        <v>53530.61</v>
      </c>
      <c r="M7" s="10">
        <f t="shared" si="10"/>
        <v>53594.43</v>
      </c>
      <c r="N7" s="10">
        <f>SUM(B7:M7)</f>
        <v>630757.05000000016</v>
      </c>
    </row>
    <row r="8" spans="1:18" ht="21.75" customHeight="1" thickBot="1" x14ac:dyDescent="0.3">
      <c r="A8" s="4" t="s">
        <v>29</v>
      </c>
      <c r="B8" s="11">
        <f t="shared" ref="B8:G8" si="11">42500.44+1604</f>
        <v>44104.44</v>
      </c>
      <c r="C8" s="11">
        <f t="shared" si="11"/>
        <v>44104.44</v>
      </c>
      <c r="D8" s="11">
        <f t="shared" si="11"/>
        <v>44104.44</v>
      </c>
      <c r="E8" s="11">
        <f t="shared" si="11"/>
        <v>44104.44</v>
      </c>
      <c r="F8" s="11">
        <f t="shared" si="11"/>
        <v>44104.44</v>
      </c>
      <c r="G8" s="11">
        <f t="shared" si="11"/>
        <v>44104.44</v>
      </c>
      <c r="H8" s="11">
        <f>42500.44+1604</f>
        <v>44104.44</v>
      </c>
      <c r="I8" s="11">
        <f>42500.44+1604</f>
        <v>44104.44</v>
      </c>
      <c r="J8" s="11">
        <f>42500.44+1604</f>
        <v>44104.44</v>
      </c>
      <c r="K8" s="11">
        <f>47724.61+1604</f>
        <v>49328.61</v>
      </c>
      <c r="L8" s="11">
        <f>47724.61+1604</f>
        <v>49328.61</v>
      </c>
      <c r="M8" s="11">
        <f>47724.61+1604</f>
        <v>49328.61</v>
      </c>
      <c r="N8" s="21">
        <f>SUM(B8:M8)</f>
        <v>544925.79</v>
      </c>
    </row>
    <row r="9" spans="1:18" ht="19.5" customHeight="1" thickBot="1" x14ac:dyDescent="0.3">
      <c r="A9" s="4" t="s">
        <v>17</v>
      </c>
      <c r="B9" s="11">
        <v>1306.25</v>
      </c>
      <c r="C9" s="11">
        <v>0</v>
      </c>
      <c r="D9" s="11">
        <v>354.07</v>
      </c>
      <c r="E9" s="11">
        <v>0</v>
      </c>
      <c r="F9" s="11">
        <v>735.37</v>
      </c>
      <c r="G9" s="11">
        <v>2099.4299999999998</v>
      </c>
      <c r="H9" s="11">
        <v>11457.94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21">
        <f t="shared" ref="N9:N15" si="12">SUM(B9:M9)</f>
        <v>15953.060000000001</v>
      </c>
    </row>
    <row r="10" spans="1:18" ht="19.5" customHeight="1" thickBot="1" x14ac:dyDescent="0.3">
      <c r="A10" s="4" t="s">
        <v>18</v>
      </c>
      <c r="B10" s="11">
        <v>481.48</v>
      </c>
      <c r="C10" s="11">
        <v>1370.33</v>
      </c>
      <c r="D10" s="11">
        <v>1684.78</v>
      </c>
      <c r="E10" s="11">
        <v>736.92</v>
      </c>
      <c r="F10" s="11">
        <v>0</v>
      </c>
      <c r="G10" s="11">
        <v>2766.88</v>
      </c>
      <c r="H10" s="11">
        <v>956.99</v>
      </c>
      <c r="I10" s="11">
        <v>2051.91</v>
      </c>
      <c r="J10" s="11">
        <v>1973.03</v>
      </c>
      <c r="K10" s="11">
        <v>-444.17</v>
      </c>
      <c r="L10" s="11">
        <v>121.32</v>
      </c>
      <c r="M10" s="11">
        <v>185.14</v>
      </c>
      <c r="N10" s="21">
        <f t="shared" si="12"/>
        <v>11884.61</v>
      </c>
    </row>
    <row r="11" spans="1:18" ht="21.75" customHeight="1" thickBot="1" x14ac:dyDescent="0.3">
      <c r="A11" s="4" t="s">
        <v>19</v>
      </c>
      <c r="B11" s="11">
        <v>0</v>
      </c>
      <c r="C11" s="11">
        <v>0</v>
      </c>
      <c r="D11" s="11">
        <v>9051.9500000000007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21">
        <f t="shared" si="12"/>
        <v>9051.9500000000007</v>
      </c>
    </row>
    <row r="12" spans="1:18" ht="21.75" customHeight="1" thickBot="1" x14ac:dyDescent="0.3">
      <c r="A12" s="4" t="s">
        <v>27</v>
      </c>
      <c r="B12" s="11">
        <v>249.46</v>
      </c>
      <c r="C12" s="11">
        <v>249.46</v>
      </c>
      <c r="D12" s="11">
        <v>249.46</v>
      </c>
      <c r="E12" s="11">
        <v>249.46</v>
      </c>
      <c r="F12" s="11">
        <v>249.46</v>
      </c>
      <c r="G12" s="11">
        <v>249.46</v>
      </c>
      <c r="H12" s="11">
        <v>253.88</v>
      </c>
      <c r="I12" s="11">
        <v>253.88</v>
      </c>
      <c r="J12" s="11">
        <v>253.88</v>
      </c>
      <c r="K12" s="11">
        <v>253.88</v>
      </c>
      <c r="L12" s="11">
        <v>253.88</v>
      </c>
      <c r="M12" s="11">
        <v>253.88</v>
      </c>
      <c r="N12" s="21">
        <f t="shared" si="12"/>
        <v>3020.0400000000004</v>
      </c>
    </row>
    <row r="13" spans="1:18" ht="21.75" customHeight="1" thickBot="1" x14ac:dyDescent="0.3">
      <c r="A13" s="4" t="s">
        <v>26</v>
      </c>
      <c r="B13" s="11">
        <v>2956.8</v>
      </c>
      <c r="C13" s="11">
        <v>2956.8</v>
      </c>
      <c r="D13" s="11">
        <v>2956.8</v>
      </c>
      <c r="E13" s="11">
        <v>2956.8</v>
      </c>
      <c r="F13" s="11">
        <v>2956.8</v>
      </c>
      <c r="G13" s="11">
        <v>2956.8</v>
      </c>
      <c r="H13" s="11">
        <v>2956.8</v>
      </c>
      <c r="I13" s="11">
        <v>2956.8</v>
      </c>
      <c r="J13" s="11">
        <v>2956.8</v>
      </c>
      <c r="K13" s="11">
        <v>2956.8</v>
      </c>
      <c r="L13" s="11">
        <v>2956.8</v>
      </c>
      <c r="M13" s="11">
        <v>2956.8</v>
      </c>
      <c r="N13" s="21">
        <f t="shared" si="12"/>
        <v>35481.599999999999</v>
      </c>
    </row>
    <row r="14" spans="1:18" ht="21.75" hidden="1" customHeight="1" thickBot="1" x14ac:dyDescent="0.3">
      <c r="A14" s="4" t="s">
        <v>28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/>
      <c r="L14" s="11"/>
      <c r="M14" s="11"/>
      <c r="N14" s="21">
        <f t="shared" si="12"/>
        <v>0</v>
      </c>
    </row>
    <row r="15" spans="1:18" ht="24.75" customHeight="1" thickBot="1" x14ac:dyDescent="0.3">
      <c r="A15" s="4" t="s">
        <v>15</v>
      </c>
      <c r="B15" s="11">
        <v>870</v>
      </c>
      <c r="C15" s="11">
        <v>870</v>
      </c>
      <c r="D15" s="11">
        <v>870</v>
      </c>
      <c r="E15" s="11">
        <v>870</v>
      </c>
      <c r="F15" s="11">
        <v>870</v>
      </c>
      <c r="G15" s="11">
        <v>870</v>
      </c>
      <c r="H15" s="11">
        <v>870</v>
      </c>
      <c r="I15" s="11">
        <v>870</v>
      </c>
      <c r="J15" s="11">
        <v>870</v>
      </c>
      <c r="K15" s="11">
        <v>870</v>
      </c>
      <c r="L15" s="11">
        <v>870</v>
      </c>
      <c r="M15" s="11">
        <v>870</v>
      </c>
      <c r="N15" s="21">
        <f t="shared" si="12"/>
        <v>10440</v>
      </c>
    </row>
    <row r="16" spans="1:18" ht="20.25" customHeight="1" thickBot="1" x14ac:dyDescent="0.3">
      <c r="A16" s="12" t="s">
        <v>8</v>
      </c>
      <c r="B16" s="13">
        <f>SUM(B17:B24)</f>
        <v>38631.140000000007</v>
      </c>
      <c r="C16" s="13">
        <f>SUM(C17:C24)</f>
        <v>36790.31</v>
      </c>
      <c r="D16" s="13">
        <f>SUM(D17:D24)</f>
        <v>44738.759999999995</v>
      </c>
      <c r="E16" s="13">
        <f t="shared" ref="E16:M16" si="13">SUM(E17:E24)</f>
        <v>52478.5</v>
      </c>
      <c r="F16" s="13">
        <f t="shared" si="13"/>
        <v>79930.950000000012</v>
      </c>
      <c r="G16" s="13">
        <f t="shared" si="13"/>
        <v>44815.689999999995</v>
      </c>
      <c r="H16" s="13">
        <f t="shared" si="13"/>
        <v>39244.119999999995</v>
      </c>
      <c r="I16" s="13">
        <f t="shared" si="13"/>
        <v>92812.3</v>
      </c>
      <c r="J16" s="13">
        <f t="shared" si="13"/>
        <v>43709.570000000007</v>
      </c>
      <c r="K16" s="13">
        <f t="shared" si="13"/>
        <v>78775.109999999986</v>
      </c>
      <c r="L16" s="13">
        <f t="shared" si="13"/>
        <v>46320.829999999994</v>
      </c>
      <c r="M16" s="13">
        <f t="shared" si="13"/>
        <v>50303.700000000004</v>
      </c>
      <c r="N16" s="13">
        <f>SUM(B16:M16)</f>
        <v>648550.97999999986</v>
      </c>
    </row>
    <row r="17" spans="1:15" ht="21" customHeight="1" thickBot="1" x14ac:dyDescent="0.3">
      <c r="A17" s="4" t="s">
        <v>29</v>
      </c>
      <c r="B17" s="11">
        <f>31653.09+1236.38</f>
        <v>32889.47</v>
      </c>
      <c r="C17" s="11">
        <f>31239.69+1190.37</f>
        <v>32430.059999999998</v>
      </c>
      <c r="D17" s="11">
        <f>37191.11+1509.06</f>
        <v>38700.17</v>
      </c>
      <c r="E17" s="11">
        <f>39207.24+1275.9</f>
        <v>40483.14</v>
      </c>
      <c r="F17" s="11">
        <f>65893.27+248.27+189.75+3290.65+461.57</f>
        <v>70083.510000000009</v>
      </c>
      <c r="G17" s="11">
        <f>38333.92+1506.94</f>
        <v>39840.86</v>
      </c>
      <c r="H17" s="11">
        <f>29689.02+1242.56</f>
        <v>30931.58</v>
      </c>
      <c r="I17" s="11">
        <f>75423.44+1797.69</f>
        <v>77221.13</v>
      </c>
      <c r="J17" s="11">
        <f>36906.61+1251.34</f>
        <v>38157.949999999997</v>
      </c>
      <c r="K17" s="11">
        <f>63482+30+2188.54</f>
        <v>65700.539999999994</v>
      </c>
      <c r="L17" s="11">
        <f>41252.58+1326.21</f>
        <v>42578.79</v>
      </c>
      <c r="M17" s="11">
        <f>40790.01+300.48+1382.94+200</f>
        <v>42673.430000000008</v>
      </c>
      <c r="N17" s="11">
        <f>SUM(B17:M17)</f>
        <v>551690.63</v>
      </c>
    </row>
    <row r="18" spans="1:15" ht="23.25" customHeight="1" thickBot="1" x14ac:dyDescent="0.3">
      <c r="A18" s="4" t="s">
        <v>17</v>
      </c>
      <c r="B18" s="11">
        <v>1563.83</v>
      </c>
      <c r="C18" s="11">
        <v>941.83</v>
      </c>
      <c r="D18" s="11">
        <v>196.31</v>
      </c>
      <c r="E18" s="11">
        <v>417.01</v>
      </c>
      <c r="F18" s="11">
        <v>668.37</v>
      </c>
      <c r="G18" s="11">
        <v>644.91999999999996</v>
      </c>
      <c r="H18" s="11">
        <v>1445.39</v>
      </c>
      <c r="I18" s="11">
        <v>9329.67</v>
      </c>
      <c r="J18" s="11">
        <v>423.23</v>
      </c>
      <c r="K18" s="11">
        <v>1198.8699999999999</v>
      </c>
      <c r="L18" s="11">
        <v>112.92</v>
      </c>
      <c r="M18" s="11">
        <v>6.26</v>
      </c>
      <c r="N18" s="11">
        <f t="shared" ref="N18:N24" si="14">SUM(B18:M18)</f>
        <v>16948.609999999997</v>
      </c>
    </row>
    <row r="19" spans="1:15" ht="22.5" customHeight="1" thickBot="1" x14ac:dyDescent="0.3">
      <c r="A19" s="4" t="s">
        <v>18</v>
      </c>
      <c r="B19" s="11">
        <v>800.66</v>
      </c>
      <c r="C19" s="11">
        <v>375.91</v>
      </c>
      <c r="D19" s="11">
        <v>1106.49</v>
      </c>
      <c r="E19" s="11">
        <v>1399.32</v>
      </c>
      <c r="F19" s="11">
        <v>851.6</v>
      </c>
      <c r="G19" s="11">
        <v>223.52</v>
      </c>
      <c r="H19" s="11">
        <v>1899.32</v>
      </c>
      <c r="I19" s="11">
        <v>1201.79</v>
      </c>
      <c r="J19" s="11">
        <v>1655.78</v>
      </c>
      <c r="K19" s="11">
        <v>2429.31</v>
      </c>
      <c r="L19" s="11">
        <v>74.38</v>
      </c>
      <c r="M19" s="11">
        <v>6.97</v>
      </c>
      <c r="N19" s="11">
        <f t="shared" si="14"/>
        <v>12025.05</v>
      </c>
    </row>
    <row r="20" spans="1:15" ht="22.5" customHeight="1" thickBot="1" x14ac:dyDescent="0.3">
      <c r="A20" s="4" t="s">
        <v>19</v>
      </c>
      <c r="B20" s="11">
        <v>0</v>
      </c>
      <c r="C20" s="11">
        <v>0</v>
      </c>
      <c r="D20" s="11">
        <v>0</v>
      </c>
      <c r="E20" s="11">
        <v>6826.6</v>
      </c>
      <c r="F20" s="11">
        <v>1123.81</v>
      </c>
      <c r="G20" s="11">
        <v>316.44</v>
      </c>
      <c r="H20" s="11">
        <v>9.32</v>
      </c>
      <c r="I20" s="11">
        <v>201.22</v>
      </c>
      <c r="J20" s="11">
        <v>82.48</v>
      </c>
      <c r="K20" s="11">
        <v>244.36</v>
      </c>
      <c r="L20" s="11">
        <v>33.72</v>
      </c>
      <c r="M20" s="11">
        <v>1.1299999999999999</v>
      </c>
      <c r="N20" s="11">
        <f t="shared" si="14"/>
        <v>8839.0799999999981</v>
      </c>
    </row>
    <row r="21" spans="1:15" ht="22.5" customHeight="1" thickBot="1" x14ac:dyDescent="0.3">
      <c r="A21" s="4" t="s">
        <v>27</v>
      </c>
      <c r="B21" s="11">
        <v>183.65</v>
      </c>
      <c r="C21" s="11">
        <v>183.31</v>
      </c>
      <c r="D21" s="11">
        <v>218.35</v>
      </c>
      <c r="E21" s="11">
        <v>229.23</v>
      </c>
      <c r="F21" s="11">
        <v>302.52</v>
      </c>
      <c r="G21" s="11">
        <v>257.88</v>
      </c>
      <c r="H21" s="11">
        <v>174.32</v>
      </c>
      <c r="I21" s="11">
        <v>288.58</v>
      </c>
      <c r="J21" s="11">
        <v>219.87</v>
      </c>
      <c r="K21" s="11">
        <v>377.47</v>
      </c>
      <c r="L21" s="11">
        <v>221.46</v>
      </c>
      <c r="M21" s="11">
        <v>217.11</v>
      </c>
      <c r="N21" s="11">
        <f t="shared" si="14"/>
        <v>2873.7500000000005</v>
      </c>
    </row>
    <row r="22" spans="1:15" ht="23.25" customHeight="1" thickBot="1" x14ac:dyDescent="0.3">
      <c r="A22" s="4" t="s">
        <v>26</v>
      </c>
      <c r="B22" s="11">
        <v>2307.66</v>
      </c>
      <c r="C22" s="11">
        <v>2059.1999999999998</v>
      </c>
      <c r="D22" s="11">
        <v>2894.08</v>
      </c>
      <c r="E22" s="11">
        <v>2323.1999999999998</v>
      </c>
      <c r="F22" s="11">
        <v>4805.8900000000003</v>
      </c>
      <c r="G22" s="11">
        <v>2632.07</v>
      </c>
      <c r="H22" s="11">
        <v>3244.16</v>
      </c>
      <c r="I22" s="11">
        <v>3669.91</v>
      </c>
      <c r="J22" s="11">
        <v>2270.2600000000002</v>
      </c>
      <c r="K22" s="11">
        <v>4378.93</v>
      </c>
      <c r="L22" s="11">
        <v>2399.56</v>
      </c>
      <c r="M22" s="11">
        <v>4997.8100000000004</v>
      </c>
      <c r="N22" s="11">
        <f t="shared" si="14"/>
        <v>37982.729999999996</v>
      </c>
    </row>
    <row r="23" spans="1:15" ht="23.25" customHeight="1" thickBot="1" x14ac:dyDescent="0.3">
      <c r="A23" s="4" t="s">
        <v>28</v>
      </c>
      <c r="B23" s="11">
        <v>85.87</v>
      </c>
      <c r="C23" s="11">
        <v>0</v>
      </c>
      <c r="D23" s="11">
        <v>683.36</v>
      </c>
      <c r="E23" s="11">
        <v>0</v>
      </c>
      <c r="F23" s="11">
        <v>1295.25</v>
      </c>
      <c r="G23" s="11">
        <v>100</v>
      </c>
      <c r="H23" s="11">
        <v>740.03</v>
      </c>
      <c r="I23" s="11">
        <v>100</v>
      </c>
      <c r="J23" s="11">
        <v>100</v>
      </c>
      <c r="K23" s="11">
        <v>3155.63</v>
      </c>
      <c r="L23" s="11">
        <v>100</v>
      </c>
      <c r="M23" s="11">
        <v>1600.99</v>
      </c>
      <c r="N23" s="11">
        <f t="shared" si="14"/>
        <v>7961.13</v>
      </c>
    </row>
    <row r="24" spans="1:15" ht="20.25" customHeight="1" thickBot="1" x14ac:dyDescent="0.3">
      <c r="A24" s="4" t="s">
        <v>15</v>
      </c>
      <c r="B24" s="14">
        <v>800</v>
      </c>
      <c r="C24" s="14">
        <v>800</v>
      </c>
      <c r="D24" s="14">
        <v>940</v>
      </c>
      <c r="E24" s="14">
        <v>800</v>
      </c>
      <c r="F24" s="14">
        <v>800</v>
      </c>
      <c r="G24" s="14">
        <v>800</v>
      </c>
      <c r="H24" s="14">
        <v>800</v>
      </c>
      <c r="I24" s="14">
        <v>800</v>
      </c>
      <c r="J24" s="14">
        <v>800</v>
      </c>
      <c r="K24" s="11">
        <v>1290</v>
      </c>
      <c r="L24" s="11">
        <v>800</v>
      </c>
      <c r="M24" s="11">
        <v>800</v>
      </c>
      <c r="N24" s="11">
        <f t="shared" si="14"/>
        <v>10230</v>
      </c>
      <c r="O24" s="3"/>
    </row>
    <row r="25" spans="1:15" ht="21.75" customHeight="1" thickBot="1" x14ac:dyDescent="0.3">
      <c r="A25" s="15" t="s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 t="shared" ref="B26:F26" si="15">2720.9*0.55</f>
        <v>1496.4950000000001</v>
      </c>
      <c r="C26" s="11">
        <f t="shared" si="15"/>
        <v>1496.4950000000001</v>
      </c>
      <c r="D26" s="11">
        <f t="shared" si="15"/>
        <v>1496.4950000000001</v>
      </c>
      <c r="E26" s="11">
        <f t="shared" si="15"/>
        <v>1496.4950000000001</v>
      </c>
      <c r="F26" s="11">
        <f t="shared" si="15"/>
        <v>1496.4950000000001</v>
      </c>
      <c r="G26" s="11">
        <f>2720.9*0.55</f>
        <v>1496.4950000000001</v>
      </c>
      <c r="H26" s="11">
        <f t="shared" ref="H26:M26" si="16">2720.9*0.55</f>
        <v>1496.4950000000001</v>
      </c>
      <c r="I26" s="11">
        <f t="shared" si="16"/>
        <v>1496.4950000000001</v>
      </c>
      <c r="J26" s="11">
        <f t="shared" si="16"/>
        <v>1496.4950000000001</v>
      </c>
      <c r="K26" s="11">
        <f t="shared" si="16"/>
        <v>1496.4950000000001</v>
      </c>
      <c r="L26" s="11">
        <f t="shared" si="16"/>
        <v>1496.4950000000001</v>
      </c>
      <c r="M26" s="11">
        <f t="shared" si="16"/>
        <v>1496.4950000000001</v>
      </c>
      <c r="N26" s="11">
        <f t="shared" ref="N26:N39" si="17">SUM(B26:M26)</f>
        <v>17957.940000000002</v>
      </c>
    </row>
    <row r="27" spans="1:15" ht="22.5" customHeight="1" thickBot="1" x14ac:dyDescent="0.3">
      <c r="A27" s="4" t="s">
        <v>2</v>
      </c>
      <c r="B27" s="11">
        <f t="shared" ref="B27:M27" si="18">2720.9*0.17</f>
        <v>462.55300000000005</v>
      </c>
      <c r="C27" s="11">
        <f t="shared" si="18"/>
        <v>462.55300000000005</v>
      </c>
      <c r="D27" s="11">
        <f t="shared" si="18"/>
        <v>462.55300000000005</v>
      </c>
      <c r="E27" s="11">
        <f t="shared" si="18"/>
        <v>462.55300000000005</v>
      </c>
      <c r="F27" s="11">
        <f t="shared" si="18"/>
        <v>462.55300000000005</v>
      </c>
      <c r="G27" s="11">
        <f t="shared" si="18"/>
        <v>462.55300000000005</v>
      </c>
      <c r="H27" s="11">
        <f t="shared" si="18"/>
        <v>462.55300000000005</v>
      </c>
      <c r="I27" s="11">
        <f t="shared" si="18"/>
        <v>462.55300000000005</v>
      </c>
      <c r="J27" s="11">
        <f t="shared" si="18"/>
        <v>462.55300000000005</v>
      </c>
      <c r="K27" s="11">
        <f t="shared" si="18"/>
        <v>462.55300000000005</v>
      </c>
      <c r="L27" s="11">
        <f t="shared" si="18"/>
        <v>462.55300000000005</v>
      </c>
      <c r="M27" s="11">
        <f t="shared" si="18"/>
        <v>462.55300000000005</v>
      </c>
      <c r="N27" s="11">
        <f t="shared" si="17"/>
        <v>5550.6359999999995</v>
      </c>
    </row>
    <row r="28" spans="1:15" ht="21" customHeight="1" thickBot="1" x14ac:dyDescent="0.3">
      <c r="A28" s="4" t="s">
        <v>3</v>
      </c>
      <c r="B28" s="11">
        <f>49098.43*2.3%</f>
        <v>1129.2638899999999</v>
      </c>
      <c r="C28" s="11">
        <f>48681.03*2.3%</f>
        <v>1119.6636899999999</v>
      </c>
      <c r="D28" s="11">
        <f>58401.5*2.3%</f>
        <v>1343.2345</v>
      </c>
      <c r="E28" s="11">
        <f>48047.62*2.3%</f>
        <v>1105.0952600000001</v>
      </c>
      <c r="F28" s="11">
        <f>48046.07*2.3%</f>
        <v>1105.05961</v>
      </c>
      <c r="G28" s="11">
        <f>52177.01*2.3%</f>
        <v>1200.07123</v>
      </c>
      <c r="H28" s="11">
        <f>59730.05*2.3%</f>
        <v>1373.79115</v>
      </c>
      <c r="I28" s="11">
        <f>49367.03*2.3%</f>
        <v>1135.4416899999999</v>
      </c>
      <c r="J28" s="11">
        <f>49288.15*2.3%</f>
        <v>1133.62745</v>
      </c>
      <c r="K28" s="11">
        <f>52095.12*2.3%</f>
        <v>1198.18776</v>
      </c>
      <c r="L28" s="11">
        <f>52660.61*2.3%</f>
        <v>1211.1940299999999</v>
      </c>
      <c r="M28" s="11">
        <f>52724.43*2.3%</f>
        <v>1212.6618900000001</v>
      </c>
      <c r="N28" s="11">
        <f t="shared" si="17"/>
        <v>14267.292149999999</v>
      </c>
    </row>
    <row r="29" spans="1:15" ht="23.25" customHeight="1" thickBot="1" x14ac:dyDescent="0.3">
      <c r="A29" s="4" t="s">
        <v>4</v>
      </c>
      <c r="B29" s="11">
        <f>37831.14*3%</f>
        <v>1134.9341999999999</v>
      </c>
      <c r="C29" s="11">
        <f>35990.31*3%</f>
        <v>1079.7093</v>
      </c>
      <c r="D29" s="11">
        <f>43798.76*3%</f>
        <v>1313.9628</v>
      </c>
      <c r="E29" s="11">
        <f>51678.5*3%</f>
        <v>1550.355</v>
      </c>
      <c r="F29" s="11">
        <f>79130.95*3%</f>
        <v>2373.9285</v>
      </c>
      <c r="G29" s="11">
        <f>44015.69*3%</f>
        <v>1320.4707000000001</v>
      </c>
      <c r="H29" s="11">
        <f>38444.12*3%</f>
        <v>1153.3235999999999</v>
      </c>
      <c r="I29" s="11">
        <f>92012.3*3%</f>
        <v>2760.3690000000001</v>
      </c>
      <c r="J29" s="11">
        <f>42909.57*3%</f>
        <v>1287.2871</v>
      </c>
      <c r="K29" s="11">
        <f>77485.11*3%</f>
        <v>2324.5533</v>
      </c>
      <c r="L29" s="11">
        <f>45520.83*3%</f>
        <v>1365.6249</v>
      </c>
      <c r="M29" s="11">
        <f>49503.7*3%</f>
        <v>1485.1109999999999</v>
      </c>
      <c r="N29" s="11">
        <f t="shared" si="17"/>
        <v>19149.629400000002</v>
      </c>
    </row>
    <row r="30" spans="1:15" ht="23.25" customHeight="1" thickBot="1" x14ac:dyDescent="0.3">
      <c r="A30" s="4" t="s">
        <v>9</v>
      </c>
      <c r="B30" s="11">
        <v>20134.66</v>
      </c>
      <c r="C30" s="11">
        <v>20134.66</v>
      </c>
      <c r="D30" s="11">
        <v>20134.66</v>
      </c>
      <c r="E30" s="11">
        <v>20134.66</v>
      </c>
      <c r="F30" s="11">
        <v>20134.66</v>
      </c>
      <c r="G30" s="11">
        <v>20134.66</v>
      </c>
      <c r="H30" s="11">
        <v>20134.66</v>
      </c>
      <c r="I30" s="11">
        <v>20134.66</v>
      </c>
      <c r="J30" s="11">
        <v>20134.66</v>
      </c>
      <c r="K30" s="11">
        <f>2720.9*8.5</f>
        <v>23127.65</v>
      </c>
      <c r="L30" s="11">
        <f t="shared" ref="L30:M30" si="19">2720.9*8.5</f>
        <v>23127.65</v>
      </c>
      <c r="M30" s="11">
        <f t="shared" si="19"/>
        <v>23127.65</v>
      </c>
      <c r="N30" s="11">
        <f t="shared" si="17"/>
        <v>250594.88999999998</v>
      </c>
    </row>
    <row r="31" spans="1:15" ht="26.25" customHeight="1" thickBot="1" x14ac:dyDescent="0.3">
      <c r="A31" s="4" t="s">
        <v>20</v>
      </c>
      <c r="B31" s="11">
        <v>0</v>
      </c>
      <c r="C31" s="11">
        <f>311.65+42.38</f>
        <v>354.03</v>
      </c>
      <c r="D31" s="11">
        <v>0</v>
      </c>
      <c r="E31" s="11">
        <f>647.38+88.01</f>
        <v>735.39</v>
      </c>
      <c r="F31" s="11">
        <f>1848.25+251.15</f>
        <v>2099.4</v>
      </c>
      <c r="G31" s="11">
        <f>10086.84+1371.12</f>
        <v>11457.96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17"/>
        <v>14646.779999999999</v>
      </c>
    </row>
    <row r="32" spans="1:15" ht="26.25" customHeight="1" thickBot="1" x14ac:dyDescent="0.3">
      <c r="A32" s="4" t="s">
        <v>21</v>
      </c>
      <c r="B32" s="11">
        <v>1370.45</v>
      </c>
      <c r="C32" s="11">
        <v>1628.76</v>
      </c>
      <c r="D32" s="11">
        <v>737.03</v>
      </c>
      <c r="E32" s="11">
        <v>1204.3</v>
      </c>
      <c r="F32" s="11">
        <v>1562.7</v>
      </c>
      <c r="G32" s="11">
        <v>957.06</v>
      </c>
      <c r="H32" s="11">
        <v>2052.29</v>
      </c>
      <c r="I32" s="11">
        <v>1973.48</v>
      </c>
      <c r="J32" s="11">
        <v>0</v>
      </c>
      <c r="K32" s="11">
        <v>121.32</v>
      </c>
      <c r="L32" s="11">
        <v>185.15</v>
      </c>
      <c r="M32" s="11">
        <v>185.15</v>
      </c>
      <c r="N32" s="11">
        <f t="shared" si="17"/>
        <v>11977.689999999999</v>
      </c>
    </row>
    <row r="33" spans="1:14" ht="26.25" customHeight="1" thickBot="1" x14ac:dyDescent="0.3">
      <c r="A33" s="4" t="s">
        <v>22</v>
      </c>
      <c r="B33" s="11">
        <v>0</v>
      </c>
      <c r="C33" s="11">
        <v>9051.9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 t="shared" si="17"/>
        <v>9051.9</v>
      </c>
    </row>
    <row r="34" spans="1:14" ht="26.25" customHeight="1" thickBot="1" x14ac:dyDescent="0.3">
      <c r="A34" s="4" t="s">
        <v>27</v>
      </c>
      <c r="B34" s="11">
        <v>249.4</v>
      </c>
      <c r="C34" s="11">
        <v>249.4</v>
      </c>
      <c r="D34" s="11">
        <v>249.4</v>
      </c>
      <c r="E34" s="11">
        <v>249.4</v>
      </c>
      <c r="F34" s="11">
        <v>249.4</v>
      </c>
      <c r="G34" s="11">
        <v>249.4</v>
      </c>
      <c r="H34" s="11">
        <v>253.87</v>
      </c>
      <c r="I34" s="11">
        <v>253.87</v>
      </c>
      <c r="J34" s="11">
        <v>253.87</v>
      </c>
      <c r="K34" s="11">
        <v>253.87</v>
      </c>
      <c r="L34" s="11">
        <v>253.87</v>
      </c>
      <c r="M34" s="11">
        <v>253.87</v>
      </c>
      <c r="N34" s="11">
        <f t="shared" si="17"/>
        <v>3019.6199999999994</v>
      </c>
    </row>
    <row r="35" spans="1:14" ht="22.5" customHeight="1" thickBot="1" x14ac:dyDescent="0.3">
      <c r="A35" s="4" t="s">
        <v>6</v>
      </c>
      <c r="B35" s="11">
        <f>2720.9*2.34</f>
        <v>6366.9059999999999</v>
      </c>
      <c r="C35" s="11">
        <f t="shared" ref="C35:J35" si="20">2720.9*2.34</f>
        <v>6366.9059999999999</v>
      </c>
      <c r="D35" s="11">
        <f t="shared" si="20"/>
        <v>6366.9059999999999</v>
      </c>
      <c r="E35" s="11">
        <f t="shared" si="20"/>
        <v>6366.9059999999999</v>
      </c>
      <c r="F35" s="11">
        <f t="shared" si="20"/>
        <v>6366.9059999999999</v>
      </c>
      <c r="G35" s="11">
        <f t="shared" si="20"/>
        <v>6366.9059999999999</v>
      </c>
      <c r="H35" s="11">
        <f t="shared" si="20"/>
        <v>6366.9059999999999</v>
      </c>
      <c r="I35" s="11">
        <f t="shared" si="20"/>
        <v>6366.9059999999999</v>
      </c>
      <c r="J35" s="11">
        <f t="shared" si="20"/>
        <v>6366.9059999999999</v>
      </c>
      <c r="K35" s="11">
        <f>2720.9*2.63</f>
        <v>7155.9669999999996</v>
      </c>
      <c r="L35" s="11">
        <f t="shared" ref="L35:M35" si="21">2720.9*2.63</f>
        <v>7155.9669999999996</v>
      </c>
      <c r="M35" s="11">
        <f t="shared" si="21"/>
        <v>7155.9669999999996</v>
      </c>
      <c r="N35" s="11">
        <f t="shared" si="17"/>
        <v>78770.055000000008</v>
      </c>
    </row>
    <row r="36" spans="1:14" ht="24.75" customHeight="1" thickBot="1" x14ac:dyDescent="0.3">
      <c r="A36" s="4" t="s">
        <v>25</v>
      </c>
      <c r="B36" s="11">
        <f t="shared" ref="B36:G36" si="22">1140+420</f>
        <v>1560</v>
      </c>
      <c r="C36" s="11">
        <f t="shared" si="22"/>
        <v>1560</v>
      </c>
      <c r="D36" s="11">
        <f t="shared" si="22"/>
        <v>1560</v>
      </c>
      <c r="E36" s="11">
        <f t="shared" si="22"/>
        <v>1560</v>
      </c>
      <c r="F36" s="11">
        <f t="shared" si="22"/>
        <v>1560</v>
      </c>
      <c r="G36" s="11">
        <f t="shared" si="22"/>
        <v>1560</v>
      </c>
      <c r="H36" s="11">
        <f>420</f>
        <v>420</v>
      </c>
      <c r="I36" s="11">
        <f>420+1140</f>
        <v>1560</v>
      </c>
      <c r="J36" s="11">
        <f>420+1140</f>
        <v>1560</v>
      </c>
      <c r="K36" s="11">
        <f>420+1140</f>
        <v>1560</v>
      </c>
      <c r="L36" s="11">
        <f>420+1140</f>
        <v>1560</v>
      </c>
      <c r="M36" s="11">
        <f>420+1140</f>
        <v>1560</v>
      </c>
      <c r="N36" s="11">
        <f t="shared" si="17"/>
        <v>17580</v>
      </c>
    </row>
    <row r="37" spans="1:14" ht="24.75" customHeight="1" thickBot="1" x14ac:dyDescent="0.3">
      <c r="A37" s="4" t="s">
        <v>14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10409.469999999999</v>
      </c>
      <c r="J37" s="11">
        <v>0</v>
      </c>
      <c r="K37" s="11">
        <v>0</v>
      </c>
      <c r="L37" s="11">
        <v>0</v>
      </c>
      <c r="M37" s="11">
        <v>0</v>
      </c>
      <c r="N37" s="11">
        <f t="shared" si="17"/>
        <v>10409.469999999999</v>
      </c>
    </row>
    <row r="38" spans="1:14" ht="24.75" customHeight="1" thickBot="1" x14ac:dyDescent="0.3">
      <c r="A38" s="4" t="s">
        <v>26</v>
      </c>
      <c r="B38" s="11">
        <v>2000</v>
      </c>
      <c r="C38" s="11">
        <v>2135</v>
      </c>
      <c r="D38" s="11">
        <v>3195</v>
      </c>
      <c r="E38" s="11">
        <v>2200</v>
      </c>
      <c r="F38" s="11">
        <v>4500</v>
      </c>
      <c r="G38" s="11">
        <v>1950</v>
      </c>
      <c r="H38" s="11">
        <v>2115</v>
      </c>
      <c r="I38" s="11">
        <v>3670</v>
      </c>
      <c r="J38" s="11">
        <v>2950</v>
      </c>
      <c r="K38" s="11">
        <v>3995</v>
      </c>
      <c r="L38" s="11">
        <v>2420</v>
      </c>
      <c r="M38" s="11">
        <v>4680</v>
      </c>
      <c r="N38" s="11">
        <f t="shared" si="17"/>
        <v>35810</v>
      </c>
    </row>
    <row r="39" spans="1:14" ht="24" customHeight="1" thickBot="1" x14ac:dyDescent="0.3">
      <c r="A39" s="4" t="s">
        <v>10</v>
      </c>
      <c r="B39" s="11">
        <f>9807.4</f>
        <v>9807.4</v>
      </c>
      <c r="C39" s="11">
        <f>797.4</f>
        <v>797.4</v>
      </c>
      <c r="D39" s="11">
        <v>0</v>
      </c>
      <c r="E39" s="11">
        <f>841.9+4036.7</f>
        <v>4878.5999999999995</v>
      </c>
      <c r="F39" s="11">
        <f>1544.3</f>
        <v>1544.3</v>
      </c>
      <c r="G39" s="11">
        <f>21375</f>
        <v>21375</v>
      </c>
      <c r="H39" s="11">
        <v>0</v>
      </c>
      <c r="I39" s="11">
        <f>11244+1818+70618.45+1060.2</f>
        <v>84740.65</v>
      </c>
      <c r="J39" s="11">
        <f>2770+5898.5+75+688.4</f>
        <v>9431.9</v>
      </c>
      <c r="K39" s="11">
        <f>1665.3+6181.2</f>
        <v>7846.5</v>
      </c>
      <c r="L39" s="11">
        <f>988.3+1096.4+1727</f>
        <v>3811.7</v>
      </c>
      <c r="M39" s="11">
        <f>2876.8</f>
        <v>2876.8</v>
      </c>
      <c r="N39" s="11">
        <f t="shared" si="17"/>
        <v>147110.25</v>
      </c>
    </row>
    <row r="40" spans="1:14" ht="22.5" customHeight="1" thickBot="1" x14ac:dyDescent="0.3">
      <c r="A40" s="9" t="s">
        <v>23</v>
      </c>
      <c r="B40" s="10">
        <f t="shared" ref="B40:M40" si="23">SUM(B26:B39)</f>
        <v>45712.062089999999</v>
      </c>
      <c r="C40" s="10">
        <f t="shared" si="23"/>
        <v>46436.476990000003</v>
      </c>
      <c r="D40" s="10">
        <f t="shared" si="23"/>
        <v>36859.241299999994</v>
      </c>
      <c r="E40" s="10">
        <f t="shared" si="23"/>
        <v>41943.754260000002</v>
      </c>
      <c r="F40" s="10">
        <f t="shared" si="23"/>
        <v>43455.40211000001</v>
      </c>
      <c r="G40" s="10">
        <f t="shared" si="23"/>
        <v>68530.575929999992</v>
      </c>
      <c r="H40" s="10">
        <f t="shared" si="23"/>
        <v>35828.888749999998</v>
      </c>
      <c r="I40" s="10">
        <f t="shared" si="23"/>
        <v>134963.89468999999</v>
      </c>
      <c r="J40" s="10">
        <f t="shared" si="23"/>
        <v>45077.29855</v>
      </c>
      <c r="K40" s="10">
        <f t="shared" si="23"/>
        <v>49542.096060000003</v>
      </c>
      <c r="L40" s="10">
        <f t="shared" si="23"/>
        <v>43050.203929999996</v>
      </c>
      <c r="M40" s="10">
        <f t="shared" si="23"/>
        <v>44496.257890000001</v>
      </c>
      <c r="N40" s="10">
        <f>SUM(B40:M40)</f>
        <v>635896.15254999988</v>
      </c>
    </row>
    <row r="41" spans="1:14" ht="23.25" customHeight="1" thickBot="1" x14ac:dyDescent="0.3">
      <c r="A41" s="4" t="s">
        <v>5</v>
      </c>
      <c r="B41" s="18">
        <f t="shared" ref="B41:N41" si="24">B16-B40</f>
        <v>-7080.9220899999927</v>
      </c>
      <c r="C41" s="18">
        <f t="shared" si="24"/>
        <v>-9646.1669900000052</v>
      </c>
      <c r="D41" s="18">
        <f t="shared" si="24"/>
        <v>7879.5187000000005</v>
      </c>
      <c r="E41" s="18">
        <f t="shared" si="24"/>
        <v>10534.745739999998</v>
      </c>
      <c r="F41" s="18">
        <f t="shared" si="24"/>
        <v>36475.547890000002</v>
      </c>
      <c r="G41" s="18">
        <f t="shared" si="24"/>
        <v>-23714.885929999997</v>
      </c>
      <c r="H41" s="18">
        <f t="shared" si="24"/>
        <v>3415.2312499999971</v>
      </c>
      <c r="I41" s="18">
        <f t="shared" si="24"/>
        <v>-42151.594689999984</v>
      </c>
      <c r="J41" s="18">
        <f t="shared" si="24"/>
        <v>-1367.7285499999925</v>
      </c>
      <c r="K41" s="18">
        <f t="shared" si="24"/>
        <v>29233.013939999983</v>
      </c>
      <c r="L41" s="18">
        <f t="shared" si="24"/>
        <v>3270.6260699999984</v>
      </c>
      <c r="M41" s="18">
        <f t="shared" si="24"/>
        <v>5807.4421100000036</v>
      </c>
      <c r="N41" s="11">
        <f t="shared" si="24"/>
        <v>12654.827449999982</v>
      </c>
    </row>
    <row r="42" spans="1:14" ht="23.25" customHeight="1" thickBot="1" x14ac:dyDescent="0.3">
      <c r="A42" s="4" t="s">
        <v>7</v>
      </c>
      <c r="B42" s="14">
        <f>B5+B41</f>
        <v>-537960.09209000005</v>
      </c>
      <c r="C42" s="19">
        <f>B42+C41</f>
        <v>-547606.25908000011</v>
      </c>
      <c r="D42" s="19">
        <f>C42+D41</f>
        <v>-539726.74038000009</v>
      </c>
      <c r="E42" s="19">
        <f t="shared" ref="E42:G42" si="25">D42+E41</f>
        <v>-529191.99464000005</v>
      </c>
      <c r="F42" s="19">
        <f t="shared" si="25"/>
        <v>-492716.44675000006</v>
      </c>
      <c r="G42" s="19">
        <f t="shared" si="25"/>
        <v>-516431.33268000005</v>
      </c>
      <c r="H42" s="19">
        <f t="shared" ref="H42" si="26">G42+H41</f>
        <v>-513016.10143000004</v>
      </c>
      <c r="I42" s="19">
        <f t="shared" ref="I42" si="27">H42+I41</f>
        <v>-555167.69611999998</v>
      </c>
      <c r="J42" s="19">
        <f t="shared" ref="J42" si="28">I42+J41</f>
        <v>-556535.42466999998</v>
      </c>
      <c r="K42" s="19">
        <f t="shared" ref="K42" si="29">J42+K41</f>
        <v>-527302.41073</v>
      </c>
      <c r="L42" s="19">
        <f t="shared" ref="L42" si="30">K42+L41</f>
        <v>-524031.78466</v>
      </c>
      <c r="M42" s="19">
        <f t="shared" ref="M42" si="31">L42+M41</f>
        <v>-518224.34255</v>
      </c>
      <c r="N42" s="18">
        <f>N5-N40+N16</f>
        <v>-518224.34255000006</v>
      </c>
    </row>
    <row r="43" spans="1:14" ht="27" customHeight="1" thickBot="1" x14ac:dyDescent="0.3">
      <c r="A43" s="15" t="s">
        <v>11</v>
      </c>
      <c r="B43" s="20">
        <f>B6+B16-B7</f>
        <v>-390983.54</v>
      </c>
      <c r="C43" s="20">
        <f>C6+C16-C7</f>
        <v>-403744.26</v>
      </c>
      <c r="D43" s="20">
        <f>D6+D16-D7</f>
        <v>-418277</v>
      </c>
      <c r="E43" s="20">
        <f t="shared" ref="E43:M43" si="32">E6+E16-E7</f>
        <v>-414716.12</v>
      </c>
      <c r="F43" s="20">
        <f t="shared" si="32"/>
        <v>-383701.24</v>
      </c>
      <c r="G43" s="20">
        <f t="shared" si="32"/>
        <v>-391932.56</v>
      </c>
      <c r="H43" s="20">
        <f t="shared" si="32"/>
        <v>-413288.49</v>
      </c>
      <c r="I43" s="20">
        <f t="shared" si="32"/>
        <v>-370713.22000000003</v>
      </c>
      <c r="J43" s="20">
        <f t="shared" si="32"/>
        <v>-377161.80000000005</v>
      </c>
      <c r="K43" s="20">
        <f t="shared" si="32"/>
        <v>-351351.81000000006</v>
      </c>
      <c r="L43" s="20">
        <f t="shared" si="32"/>
        <v>-358561.59</v>
      </c>
      <c r="M43" s="20">
        <f t="shared" si="32"/>
        <v>-361852.32</v>
      </c>
      <c r="N43" s="17">
        <f>N6+N16-N7</f>
        <v>-361852.3200000003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2022-03-14T07:21:50Z</cp:lastPrinted>
  <dcterms:created xsi:type="dcterms:W3CDTF">2011-06-06T03:25:48Z</dcterms:created>
  <dcterms:modified xsi:type="dcterms:W3CDTF">2022-03-14T07:28:50Z</dcterms:modified>
</cp:coreProperties>
</file>