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J26" i="1" l="1"/>
  <c r="M21" i="1" l="1"/>
  <c r="M10" i="1"/>
  <c r="M13" i="1"/>
  <c r="M17" i="1"/>
  <c r="M9" i="1"/>
  <c r="L18" i="1"/>
  <c r="L21" i="1"/>
  <c r="L13" i="1"/>
  <c r="L17" i="1"/>
  <c r="L9" i="1"/>
  <c r="K21" i="1"/>
  <c r="K10" i="1"/>
  <c r="K13" i="1"/>
  <c r="K17" i="1"/>
  <c r="K9" i="1"/>
  <c r="L28" i="1" l="1"/>
  <c r="M28" i="1"/>
  <c r="K28" i="1"/>
  <c r="M36" i="1" l="1"/>
  <c r="L36" i="1" l="1"/>
  <c r="M34" i="1" l="1"/>
  <c r="L34" i="1" l="1"/>
  <c r="K34" i="1" l="1"/>
  <c r="L29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5" i="1"/>
  <c r="L25" i="1"/>
  <c r="M25" i="1"/>
  <c r="K24" i="1"/>
  <c r="L24" i="1"/>
  <c r="M24" i="1"/>
  <c r="J8" i="1" l="1"/>
  <c r="J21" i="1"/>
  <c r="J13" i="1"/>
  <c r="J17" i="1"/>
  <c r="J9" i="1"/>
  <c r="E27" i="1"/>
  <c r="I19" i="1"/>
  <c r="I21" i="1"/>
  <c r="I13" i="1"/>
  <c r="I17" i="1"/>
  <c r="I9" i="1"/>
  <c r="H18" i="1"/>
  <c r="H19" i="1"/>
  <c r="H21" i="1"/>
  <c r="H11" i="1"/>
  <c r="H13" i="1"/>
  <c r="H17" i="1"/>
  <c r="H9" i="1"/>
  <c r="C33" i="1" l="1"/>
  <c r="D33" i="1"/>
  <c r="E33" i="1"/>
  <c r="F33" i="1"/>
  <c r="G33" i="1"/>
  <c r="H33" i="1"/>
  <c r="I33" i="1"/>
  <c r="J33" i="1"/>
  <c r="B33" i="1"/>
  <c r="J36" i="1" l="1"/>
  <c r="I36" i="1" l="1"/>
  <c r="J29" i="1" l="1"/>
  <c r="I29" i="1"/>
  <c r="H29" i="1"/>
  <c r="J34" i="1" l="1"/>
  <c r="I34" i="1" l="1"/>
  <c r="J27" i="1" l="1"/>
  <c r="J16" i="1"/>
  <c r="H36" i="1" l="1"/>
  <c r="I27" i="1" l="1"/>
  <c r="I16" i="1"/>
  <c r="I26" i="1"/>
  <c r="I8" i="1"/>
  <c r="H27" i="1" l="1"/>
  <c r="H16" i="1"/>
  <c r="H26" i="1"/>
  <c r="H8" i="1"/>
  <c r="H25" i="1" l="1"/>
  <c r="I25" i="1"/>
  <c r="J25" i="1"/>
  <c r="H24" i="1"/>
  <c r="I24" i="1"/>
  <c r="J24" i="1"/>
  <c r="G24" i="1"/>
  <c r="G19" i="1" l="1"/>
  <c r="G21" i="1"/>
  <c r="G10" i="1"/>
  <c r="G13" i="1"/>
  <c r="G9" i="1"/>
  <c r="F19" i="1"/>
  <c r="F21" i="1"/>
  <c r="F11" i="1"/>
  <c r="F13" i="1"/>
  <c r="F9" i="1"/>
  <c r="E19" i="1"/>
  <c r="E21" i="1"/>
  <c r="E11" i="1"/>
  <c r="E13" i="1"/>
  <c r="E9" i="1"/>
  <c r="G36" i="1" l="1"/>
  <c r="E36" i="1" l="1"/>
  <c r="F29" i="1" l="1"/>
  <c r="G29" i="1"/>
  <c r="E29" i="1"/>
  <c r="G27" i="1" l="1"/>
  <c r="G16" i="1"/>
  <c r="G26" i="1"/>
  <c r="G8" i="1"/>
  <c r="F27" i="1" l="1"/>
  <c r="F16" i="1"/>
  <c r="F26" i="1"/>
  <c r="F8" i="1"/>
  <c r="F36" i="1" l="1"/>
  <c r="E16" i="1" l="1"/>
  <c r="E26" i="1"/>
  <c r="E8" i="1"/>
  <c r="D36" i="1" l="1"/>
  <c r="E25" i="1"/>
  <c r="F25" i="1"/>
  <c r="G25" i="1"/>
  <c r="E24" i="1"/>
  <c r="F24" i="1"/>
  <c r="D27" i="1" l="1"/>
  <c r="D16" i="1"/>
  <c r="D26" i="1"/>
  <c r="D8" i="1"/>
  <c r="B28" i="1" l="1"/>
  <c r="B8" i="1"/>
  <c r="C36" i="1" l="1"/>
  <c r="C27" i="1" l="1"/>
  <c r="C16" i="1"/>
  <c r="C26" i="1"/>
  <c r="C8" i="1"/>
  <c r="B27" i="1" l="1"/>
  <c r="B16" i="1"/>
  <c r="B26" i="1"/>
  <c r="B36" i="1" l="1"/>
  <c r="B34" i="1" l="1"/>
  <c r="C25" i="1" l="1"/>
  <c r="D25" i="1"/>
  <c r="C24" i="1"/>
  <c r="D24" i="1"/>
  <c r="B25" i="1"/>
  <c r="B24" i="1"/>
  <c r="N6" i="1" l="1"/>
  <c r="N5" i="1"/>
  <c r="N22" i="1"/>
  <c r="N17" i="1"/>
  <c r="N14" i="1"/>
  <c r="N9" i="1"/>
  <c r="M7" i="1" l="1"/>
  <c r="L7" i="1"/>
  <c r="K15" i="1"/>
  <c r="K7" i="1"/>
  <c r="N24" i="1"/>
  <c r="N25" i="1"/>
  <c r="N28" i="1"/>
  <c r="N29" i="1"/>
  <c r="N30" i="1"/>
  <c r="N31" i="1"/>
  <c r="N32" i="1"/>
  <c r="N33" i="1"/>
  <c r="N34" i="1"/>
  <c r="N35" i="1"/>
  <c r="L15" i="1"/>
  <c r="M15" i="1"/>
  <c r="N11" i="1"/>
  <c r="N12" i="1"/>
  <c r="N10" i="1"/>
  <c r="M37" i="1" l="1"/>
  <c r="M38" i="1" s="1"/>
  <c r="L37" i="1"/>
  <c r="L38" i="1" s="1"/>
  <c r="K37" i="1"/>
  <c r="K38" i="1" s="1"/>
  <c r="N13" i="1"/>
  <c r="I15" i="1" l="1"/>
  <c r="H15" i="1"/>
  <c r="J15" i="1" l="1"/>
  <c r="H7" i="1"/>
  <c r="I7" i="1"/>
  <c r="J7" i="1"/>
  <c r="N36" i="1"/>
  <c r="N27" i="1"/>
  <c r="G7" i="1"/>
  <c r="F7" i="1"/>
  <c r="N21" i="1"/>
  <c r="N20" i="1"/>
  <c r="D15" i="1"/>
  <c r="D7" i="1"/>
  <c r="C15" i="1"/>
  <c r="C7" i="1"/>
  <c r="B15" i="1"/>
  <c r="B7" i="1"/>
  <c r="J37" i="1" l="1"/>
  <c r="J38" i="1" s="1"/>
  <c r="D37" i="1"/>
  <c r="D38" i="1" s="1"/>
  <c r="C37" i="1"/>
  <c r="C38" i="1" s="1"/>
  <c r="N18" i="1"/>
  <c r="N16" i="1"/>
  <c r="E7" i="1"/>
  <c r="N7" i="1" s="1"/>
  <c r="N8" i="1"/>
  <c r="N19" i="1"/>
  <c r="G15" i="1"/>
  <c r="N26" i="1"/>
  <c r="F15" i="1"/>
  <c r="I37" i="1"/>
  <c r="I38" i="1" s="1"/>
  <c r="H37" i="1"/>
  <c r="E15" i="1"/>
  <c r="B40" i="1"/>
  <c r="C6" i="1" s="1"/>
  <c r="C40" i="1" s="1"/>
  <c r="D6" i="1" s="1"/>
  <c r="D40" i="1" s="1"/>
  <c r="G37" i="1" l="1"/>
  <c r="G38" i="1" s="1"/>
  <c r="E6" i="1"/>
  <c r="E40" i="1" s="1"/>
  <c r="F6" i="1" s="1"/>
  <c r="F40" i="1" s="1"/>
  <c r="G6" i="1" s="1"/>
  <c r="N15" i="1"/>
  <c r="H38" i="1"/>
  <c r="F37" i="1"/>
  <c r="F38" i="1" s="1"/>
  <c r="B37" i="1"/>
  <c r="B38" i="1" s="1"/>
  <c r="B39" i="1" s="1"/>
  <c r="G40" i="1" l="1"/>
  <c r="H6" i="1" s="1"/>
  <c r="H40" i="1" s="1"/>
  <c r="I6" i="1" s="1"/>
  <c r="I40" i="1" s="1"/>
  <c r="J6" i="1" s="1"/>
  <c r="C5" i="1"/>
  <c r="C39" i="1"/>
  <c r="D39" i="1" s="1"/>
  <c r="E37" i="1"/>
  <c r="N37" i="1" s="1"/>
  <c r="N40" i="1"/>
  <c r="N42" i="1" s="1"/>
  <c r="J40" i="1" l="1"/>
  <c r="K6" i="1" s="1"/>
  <c r="K40" i="1" s="1"/>
  <c r="L6" i="1" s="1"/>
  <c r="L40" i="1" s="1"/>
  <c r="M6" i="1" s="1"/>
  <c r="M40" i="1" s="1"/>
  <c r="E5" i="1"/>
  <c r="D5" i="1"/>
  <c r="E38" i="1"/>
  <c r="N38" i="1"/>
  <c r="N39" i="1" s="1"/>
  <c r="E39" i="1" l="1"/>
  <c r="F39" i="1" s="1"/>
  <c r="G39" i="1" s="1"/>
  <c r="G5" i="1" l="1"/>
  <c r="F5" i="1"/>
  <c r="H5" i="1"/>
  <c r="H39" i="1"/>
  <c r="I39" i="1" l="1"/>
  <c r="J39" i="1" s="1"/>
  <c r="I5" i="1"/>
  <c r="J5" i="1" l="1"/>
  <c r="K5" i="1" l="1"/>
  <c r="K39" i="1"/>
  <c r="L5" i="1" l="1"/>
  <c r="L39" i="1"/>
  <c r="M5" i="1" l="1"/>
  <c r="M39" i="1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<sst xmlns="http://schemas.openxmlformats.org/spreadsheetml/2006/main" count="53" uniqueCount="45">
  <si>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</si>
  <si>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</si>
  <si>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</si>
  <si>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</si>
  <si>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</si>
  <si>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</si>
  <si>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</si>
  <si>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</si>
  <si>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</si>
  <si>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</si>
  <si>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</si>
  <si>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</si>
  <si>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</si>
  <si>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</si>
  <si>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</si>
  <si>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</si>
  <si>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</si>
  <si>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</si>
  <si>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</si>
  <si>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</si>
  <si>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</si>
  <si>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</si>
  <si>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</si>
  <si>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</si>
  <si>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</si>
  <si>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</si>
  <si>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</si>
  <si>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</si>
  <si>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</si>
  <si>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</si>
  <si>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</si>
  <si>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</si>
  <si>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</si>
  <si>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</si>
  <si>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</si>
  <si>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</si>
  <si>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</si>
  <si>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</t>
  </si>
  <si>
    <t>Ноябрь 2021г</t>
  </si>
  <si>
    <t>Декабрь 2021г</t>
  </si>
  <si>
    <t>Всего:                       за  2021г</t>
  </si>
  <si>
    <t>Корректировка задолженности по решению Арбитражного суда за предыдущие периоды</t>
  </si>
  <si>
    <t xml:space="preserve">                 ОТЧЕТ по дому Васильева, 65 за период 01.01.2021г. по 31.12.2021г.</t>
  </si>
  <si>
    <t>Содержание жилья и текущий ремонт,  ОПУ</t>
  </si>
  <si>
    <t xml:space="preserve">Содержание жилья и текущий ремонт,  ОПУ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</si>
</sst>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[$-419]mmmm\ yyyy;@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5" fontId="7" fillId="0" borderId="2" xfId="0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B31" zoomScale="75" workbookViewId="0">
      <selection activeCell="J27" sqref="J27"/>
    </sheetView>
  </sheetViews>
  <sheetFormatPr defaultRowHeight="13.2" x14ac:dyDescent="0.25"/>
  <cols>
    <col min="1" max="1" width="58.6640625" customWidth="1"/>
    <col min="2" max="2" width="14" customWidth="1"/>
    <col min="3" max="3" width="14.109375" customWidth="1"/>
    <col min="4" max="4" width="15.109375" customWidth="1"/>
    <col min="5" max="5" width="15.44140625" customWidth="1"/>
    <col min="6" max="7" width="13.6640625" customWidth="1"/>
    <col min="8" max="8" width="14.109375" customWidth="1"/>
    <col min="9" max="9" width="13.88671875" customWidth="1"/>
    <col min="10" max="13" width="14.109375" customWidth="1"/>
    <col min="14" max="14" width="16.33203125" customWidth="1"/>
  </cols>
  <sheetData>
    <row r="1" spans="1:18" ht="20.25" customHeight="1" x14ac:dyDescent="0.35">
      <c r="A1" s="23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21" t="s">
        <v>37</v>
      </c>
      <c r="L4" s="21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16</v>
      </c>
      <c r="B5" s="8">
        <v>-89611.5</v>
      </c>
      <c r="C5" s="8">
        <f t="shared" ref="C5:D6" si="0">B39</f>
        <v>-77633.891409999997</v>
      </c>
      <c r="D5" s="8">
        <f t="shared" si="0"/>
        <v>-64486.493139999991</v>
      </c>
      <c r="E5" s="8">
        <f t="shared" ref="E5:J6" si="1">D39</f>
        <v>-61429.220969999995</v>
      </c>
      <c r="F5" s="8">
        <f t="shared" si="1"/>
        <v>-189820.21970000002</v>
      </c>
      <c r="G5" s="8">
        <f t="shared" si="1"/>
        <v>-375202.26806000003</v>
      </c>
      <c r="H5" s="8">
        <f t="shared" si="1"/>
        <v>-418078.38385000004</v>
      </c>
      <c r="I5" s="8">
        <f t="shared" si="1"/>
        <v>-415028.96843000007</v>
      </c>
      <c r="J5" s="8">
        <f t="shared" si="1"/>
        <v>-438824.59488000005</v>
      </c>
      <c r="K5" s="8">
        <f t="shared" ref="K5:K6" si="2">J39</f>
        <v>-465737.82908000005</v>
      </c>
      <c r="L5" s="8">
        <f t="shared" ref="L5:L6" si="3">K39</f>
        <v>-457108.84087000007</v>
      </c>
      <c r="M5" s="8">
        <f t="shared" ref="M5:M6" si="4">L39</f>
        <v>-475842.65512000007</v>
      </c>
      <c r="N5" s="8">
        <f>B5</f>
        <v>-89611.5</v>
      </c>
    </row>
    <row r="6" spans="1:18" ht="21" customHeight="1" thickBot="1" x14ac:dyDescent="0.3">
      <c r="A6" s="7" t="s">
        <v>13</v>
      </c>
      <c r="B6" s="8">
        <v>-124532.72</v>
      </c>
      <c r="C6" s="8">
        <f t="shared" si="0"/>
        <v>-125816.57999999999</v>
      </c>
      <c r="D6" s="8">
        <f t="shared" si="0"/>
        <v>-126635.42999999998</v>
      </c>
      <c r="E6" s="8">
        <f t="shared" si="1"/>
        <v>-133658.52999999997</v>
      </c>
      <c r="F6" s="8">
        <f t="shared" si="1"/>
        <v>-143377.58999999997</v>
      </c>
      <c r="G6" s="8">
        <f t="shared" si="1"/>
        <v>-150249.63999999996</v>
      </c>
      <c r="H6" s="8">
        <f t="shared" si="1"/>
        <v>-161165.34999999995</v>
      </c>
      <c r="I6" s="8">
        <f t="shared" si="1"/>
        <v>-151107.36999999994</v>
      </c>
      <c r="J6" s="8">
        <f t="shared" si="1"/>
        <v>-150832.44999999992</v>
      </c>
      <c r="K6" s="8">
        <f t="shared" si="2"/>
        <v>-143047.59999999992</v>
      </c>
      <c r="L6" s="8">
        <f t="shared" si="3"/>
        <v>-146265.07999999993</v>
      </c>
      <c r="M6" s="8">
        <f t="shared" si="4"/>
        <v>-149971.48999999993</v>
      </c>
      <c r="N6" s="8">
        <f>B6</f>
        <v>-124532.72</v>
      </c>
    </row>
    <row r="7" spans="1:18" ht="20.25" customHeight="1" thickBot="1" x14ac:dyDescent="0.3">
      <c r="A7" s="9" t="s">
        <v>12</v>
      </c>
      <c r="B7" s="10">
        <f t="shared" ref="B7:G7" si="5">SUM(B8:B14)</f>
        <v>48197.659999999996</v>
      </c>
      <c r="C7" s="10">
        <f t="shared" si="5"/>
        <v>45527.399999999994</v>
      </c>
      <c r="D7" s="10">
        <f t="shared" si="5"/>
        <v>45527.399999999994</v>
      </c>
      <c r="E7" s="10">
        <f t="shared" si="5"/>
        <v>45527.4</v>
      </c>
      <c r="F7" s="10">
        <f t="shared" si="5"/>
        <v>45520.81</v>
      </c>
      <c r="G7" s="10">
        <f t="shared" si="5"/>
        <v>51439.259999999995</v>
      </c>
      <c r="H7" s="10">
        <f t="shared" ref="H7" si="6">SUM(H8:H14)</f>
        <v>45525.65</v>
      </c>
      <c r="I7" s="10">
        <f t="shared" ref="I7" si="7">SUM(I8:I14)</f>
        <v>45318.400000000001</v>
      </c>
      <c r="J7" s="10">
        <f t="shared" ref="J7:M7" si="8">SUM(J8:J14)</f>
        <v>45318.400000000001</v>
      </c>
      <c r="K7" s="10">
        <f>SUM(K8:K14)</f>
        <v>45985.430000000008</v>
      </c>
      <c r="L7" s="10">
        <f t="shared" si="8"/>
        <v>45318.400000000001</v>
      </c>
      <c r="M7" s="10">
        <f t="shared" si="8"/>
        <v>45339.98</v>
      </c>
      <c r="N7" s="10">
        <f>SUM(B7:M7)</f>
        <v>554546.19000000006</v>
      </c>
    </row>
    <row r="8" spans="1:18" ht="24.75" customHeight="1" thickBot="1" x14ac:dyDescent="0.3">
      <c r="A8" s="4" t="s">
        <v>43</v>
      </c>
      <c r="B8" s="11">
        <f>37890.99+1604.01</f>
        <v>39495</v>
      </c>
      <c r="C8" s="11">
        <f>37890.99+1604.01</f>
        <v>39495</v>
      </c>
      <c r="D8" s="11">
        <f>37890.99+1604.01</f>
        <v>39495</v>
      </c>
      <c r="E8" s="11">
        <f>37890.99+1604.01</f>
        <v>39495</v>
      </c>
      <c r="F8" s="11">
        <f t="shared" ref="F8:K8" si="9">37884.74+1603.71</f>
        <v>39488.449999999997</v>
      </c>
      <c r="G8" s="11">
        <f t="shared" si="9"/>
        <v>39488.449999999997</v>
      </c>
      <c r="H8" s="11">
        <f t="shared" si="9"/>
        <v>39488.449999999997</v>
      </c>
      <c r="I8" s="11">
        <f t="shared" si="9"/>
        <v>39488.449999999997</v>
      </c>
      <c r="J8" s="11">
        <f t="shared" si="9"/>
        <v>39488.449999999997</v>
      </c>
      <c r="K8" s="11">
        <f t="shared" si="9"/>
        <v>39488.449999999997</v>
      </c>
      <c r="L8" s="11">
        <f>37884.74+1603.71</f>
        <v>39488.449999999997</v>
      </c>
      <c r="M8" s="11">
        <f>37884.74+1603.71</f>
        <v>39488.449999999997</v>
      </c>
      <c r="N8" s="11">
        <f>SUM(B8:M8)</f>
        <v>473887.60000000009</v>
      </c>
    </row>
    <row r="9" spans="1:18" ht="22.95" customHeight="1" thickBot="1" x14ac:dyDescent="0.3">
      <c r="A9" s="4" t="s">
        <v>17</v>
      </c>
      <c r="B9" s="11">
        <v>3659.77</v>
      </c>
      <c r="C9" s="11">
        <v>3659.77</v>
      </c>
      <c r="D9" s="11">
        <v>3659.77</v>
      </c>
      <c r="E9" s="11">
        <f>1402.68+2257.09</f>
        <v>3659.7700000000004</v>
      </c>
      <c r="F9" s="11">
        <f>1402.68+2257.09</f>
        <v>3659.7700000000004</v>
      </c>
      <c r="G9" s="11">
        <f>1402.68+2257.09</f>
        <v>3659.7700000000004</v>
      </c>
      <c r="H9" s="11">
        <f t="shared" ref="H9:M9" si="10">2257.09+1402.68</f>
        <v>3659.7700000000004</v>
      </c>
      <c r="I9" s="11">
        <f t="shared" si="10"/>
        <v>3659.7700000000004</v>
      </c>
      <c r="J9" s="11">
        <f t="shared" si="10"/>
        <v>3659.7700000000004</v>
      </c>
      <c r="K9" s="11">
        <f t="shared" si="10"/>
        <v>3659.7700000000004</v>
      </c>
      <c r="L9" s="11">
        <f t="shared" si="10"/>
        <v>3659.7700000000004</v>
      </c>
      <c r="M9" s="11">
        <f t="shared" si="10"/>
        <v>3659.7700000000004</v>
      </c>
      <c r="N9" s="11">
        <f>SUM(B9:M9)</f>
        <v>43917.240000000005</v>
      </c>
    </row>
    <row r="10" spans="1:18" ht="24.75" customHeight="1" thickBot="1" x14ac:dyDescent="0.3">
      <c r="A10" s="4" t="s">
        <v>18</v>
      </c>
      <c r="B10" s="11">
        <v>2670.26</v>
      </c>
      <c r="C10" s="11">
        <v>0</v>
      </c>
      <c r="D10" s="11">
        <v>0</v>
      </c>
      <c r="E10" s="11">
        <v>0</v>
      </c>
      <c r="F10" s="11">
        <v>0</v>
      </c>
      <c r="G10" s="11">
        <f>5584+214.62+345.36</f>
        <v>6143.98</v>
      </c>
      <c r="H10" s="11">
        <v>0</v>
      </c>
      <c r="I10" s="11">
        <v>0</v>
      </c>
      <c r="J10" s="11">
        <v>0</v>
      </c>
      <c r="K10" s="11">
        <f>4532.26+270.22+167.93</f>
        <v>4970.4100000000008</v>
      </c>
      <c r="L10" s="11">
        <v>0</v>
      </c>
      <c r="M10" s="11">
        <f>19.23+1.45+0.9</f>
        <v>21.58</v>
      </c>
      <c r="N10" s="11">
        <f>SUM(B10:M10)</f>
        <v>13806.230000000001</v>
      </c>
    </row>
    <row r="11" spans="1:18" ht="24.75" customHeight="1" thickBot="1" x14ac:dyDescent="0.3">
      <c r="A11" s="4" t="s">
        <v>19</v>
      </c>
      <c r="B11" s="11">
        <v>207.28</v>
      </c>
      <c r="C11" s="11">
        <v>207.28</v>
      </c>
      <c r="D11" s="11">
        <v>207.28</v>
      </c>
      <c r="E11" s="11">
        <f>188.54+7.18+11.56</f>
        <v>207.28</v>
      </c>
      <c r="F11" s="11">
        <f>188.54+7.18+11.56</f>
        <v>207.28</v>
      </c>
      <c r="G11" s="11">
        <v>-18.25</v>
      </c>
      <c r="H11" s="11">
        <f>188.51+11.56+7.18</f>
        <v>207.25</v>
      </c>
      <c r="I11" s="11">
        <v>0</v>
      </c>
      <c r="J11" s="11">
        <v>0</v>
      </c>
      <c r="K11" s="11">
        <v>-4303.38</v>
      </c>
      <c r="L11" s="11">
        <v>0</v>
      </c>
      <c r="M11" s="11">
        <v>0</v>
      </c>
      <c r="N11" s="11">
        <f t="shared" ref="N11" si="11">SUM(B11:M11)</f>
        <v>-3077.98</v>
      </c>
    </row>
    <row r="12" spans="1:18" ht="24.75" customHeight="1" thickBot="1" x14ac:dyDescent="0.3">
      <c r="A12" s="4" t="s">
        <v>20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f t="shared" ref="N12:N22" si="12">SUM(B12:M12)</f>
        <v>0</v>
      </c>
    </row>
    <row r="13" spans="1:18" ht="24.75" customHeight="1" thickBot="1" x14ac:dyDescent="0.3">
      <c r="A13" s="4" t="s">
        <v>27</v>
      </c>
      <c r="B13" s="11">
        <v>295.35000000000002</v>
      </c>
      <c r="C13" s="11">
        <v>295.35000000000002</v>
      </c>
      <c r="D13" s="11">
        <v>295.35000000000002</v>
      </c>
      <c r="E13" s="11">
        <f>269.57+9.88+15.9</f>
        <v>295.34999999999997</v>
      </c>
      <c r="F13" s="11">
        <f>269.53+9.88+15.9</f>
        <v>295.30999999999995</v>
      </c>
      <c r="G13" s="11">
        <f>269.53+9.88+15.9</f>
        <v>295.30999999999995</v>
      </c>
      <c r="H13" s="11">
        <f t="shared" ref="H13:M13" si="13">274.4+15.9+9.88</f>
        <v>300.17999999999995</v>
      </c>
      <c r="I13" s="11">
        <f t="shared" si="13"/>
        <v>300.17999999999995</v>
      </c>
      <c r="J13" s="11">
        <f t="shared" si="13"/>
        <v>300.17999999999995</v>
      </c>
      <c r="K13" s="11">
        <f t="shared" si="13"/>
        <v>300.17999999999995</v>
      </c>
      <c r="L13" s="11">
        <f t="shared" si="13"/>
        <v>300.17999999999995</v>
      </c>
      <c r="M13" s="11">
        <f t="shared" si="13"/>
        <v>300.17999999999995</v>
      </c>
      <c r="N13" s="11">
        <f t="shared" si="12"/>
        <v>3573.099999999999</v>
      </c>
    </row>
    <row r="14" spans="1:18" ht="24.75" customHeight="1" thickBot="1" x14ac:dyDescent="0.3">
      <c r="A14" s="4" t="s">
        <v>15</v>
      </c>
      <c r="B14" s="11">
        <v>1870</v>
      </c>
      <c r="C14" s="11">
        <v>1870</v>
      </c>
      <c r="D14" s="11">
        <v>1870</v>
      </c>
      <c r="E14" s="11">
        <v>1870</v>
      </c>
      <c r="F14" s="11">
        <v>1870</v>
      </c>
      <c r="G14" s="11">
        <v>1870</v>
      </c>
      <c r="H14" s="11">
        <v>1870</v>
      </c>
      <c r="I14" s="11">
        <v>1870</v>
      </c>
      <c r="J14" s="11">
        <v>1870</v>
      </c>
      <c r="K14" s="11">
        <v>1870</v>
      </c>
      <c r="L14" s="11">
        <v>1870</v>
      </c>
      <c r="M14" s="11">
        <v>1870</v>
      </c>
      <c r="N14" s="11">
        <f t="shared" si="12"/>
        <v>22440</v>
      </c>
    </row>
    <row r="15" spans="1:18" ht="20.25" customHeight="1" thickBot="1" x14ac:dyDescent="0.3">
      <c r="A15" s="12" t="s">
        <v>8</v>
      </c>
      <c r="B15" s="13">
        <f t="shared" ref="B15:H15" si="14">SUM(B16:B22)</f>
        <v>46913.8</v>
      </c>
      <c r="C15" s="13">
        <f t="shared" si="14"/>
        <v>44708.55</v>
      </c>
      <c r="D15" s="13">
        <f t="shared" si="14"/>
        <v>38504.299999999996</v>
      </c>
      <c r="E15" s="13">
        <f t="shared" si="14"/>
        <v>35808.339999999997</v>
      </c>
      <c r="F15" s="13">
        <f t="shared" si="14"/>
        <v>38648.759999999995</v>
      </c>
      <c r="G15" s="13">
        <f t="shared" si="14"/>
        <v>40523.550000000003</v>
      </c>
      <c r="H15" s="13">
        <f t="shared" si="14"/>
        <v>55583.63</v>
      </c>
      <c r="I15" s="13">
        <f>SUM(I16:I22)</f>
        <v>45593.32</v>
      </c>
      <c r="J15" s="13">
        <f t="shared" ref="J15:M15" si="15">SUM(J16:J22)</f>
        <v>53103.25</v>
      </c>
      <c r="K15" s="13">
        <f>SUM(K16:K22)</f>
        <v>42767.95</v>
      </c>
      <c r="L15" s="13">
        <f t="shared" si="15"/>
        <v>41611.99</v>
      </c>
      <c r="M15" s="13">
        <f t="shared" si="15"/>
        <v>43226.19000000001</v>
      </c>
      <c r="N15" s="13">
        <f>SUM(B15:M15)</f>
        <v>526993.63</v>
      </c>
    </row>
    <row r="16" spans="1:18" ht="24" customHeight="1" thickBot="1" x14ac:dyDescent="0.3">
      <c r="A16" s="4" t="s">
        <v>44</v>
      </c>
      <c r="B16" s="11">
        <f>34774.12+486.66+2645.55</f>
        <v>37906.330000000009</v>
      </c>
      <c r="C16" s="11">
        <f>35004.17+1415.74</f>
        <v>36419.909999999996</v>
      </c>
      <c r="D16" s="11">
        <f>30940.5+1235.55</f>
        <v>32176.05</v>
      </c>
      <c r="E16" s="11">
        <f>27920.76+1296.26</f>
        <v>29217.019999999997</v>
      </c>
      <c r="F16" s="11">
        <f>32207.26+1393.7</f>
        <v>33600.959999999999</v>
      </c>
      <c r="G16" s="11">
        <f>34485.05+1621.19</f>
        <v>36106.240000000005</v>
      </c>
      <c r="H16" s="11">
        <f>38166.75+2877</f>
        <v>41043.75</v>
      </c>
      <c r="I16" s="11">
        <f>37001.59+1368.09</f>
        <v>38369.679999999993</v>
      </c>
      <c r="J16" s="11">
        <f>46436.09+1088.97</f>
        <v>47525.06</v>
      </c>
      <c r="K16" s="11">
        <f>35087.26+1390.2</f>
        <v>36477.46</v>
      </c>
      <c r="L16" s="11">
        <f>30566.42+1660.44</f>
        <v>32226.859999999997</v>
      </c>
      <c r="M16" s="11">
        <f>34643.68+2380.21</f>
        <v>37023.89</v>
      </c>
      <c r="N16" s="11">
        <f t="shared" si="12"/>
        <v>438093.21</v>
      </c>
    </row>
    <row r="17" spans="1:15" ht="26.25" customHeight="1" thickBot="1" x14ac:dyDescent="0.3">
      <c r="A17" s="4" t="s">
        <v>17</v>
      </c>
      <c r="B17" s="11">
        <v>3659.77</v>
      </c>
      <c r="C17" s="11">
        <v>3659.77</v>
      </c>
      <c r="D17" s="11">
        <v>3659.77</v>
      </c>
      <c r="E17" s="11">
        <v>4514.18</v>
      </c>
      <c r="F17" s="11">
        <v>2805.36</v>
      </c>
      <c r="G17" s="11">
        <v>2257.09</v>
      </c>
      <c r="H17" s="11">
        <f>4514.18+2550.32</f>
        <v>7064.5</v>
      </c>
      <c r="I17" s="11">
        <f>2257.09+1402.68</f>
        <v>3659.7700000000004</v>
      </c>
      <c r="J17" s="11">
        <f>2257.09+1402.68</f>
        <v>3659.7700000000004</v>
      </c>
      <c r="K17" s="11">
        <f>2257.09+1402.68</f>
        <v>3659.7700000000004</v>
      </c>
      <c r="L17" s="11">
        <f>2257.09+1402.68</f>
        <v>3659.7700000000004</v>
      </c>
      <c r="M17" s="11">
        <f>2257.09+1402.68</f>
        <v>3659.7700000000004</v>
      </c>
      <c r="N17" s="11">
        <f t="shared" si="12"/>
        <v>45919.290000000008</v>
      </c>
    </row>
    <row r="18" spans="1:15" ht="26.25" customHeight="1" thickBot="1" x14ac:dyDescent="0.3">
      <c r="A18" s="4" t="s">
        <v>18</v>
      </c>
      <c r="B18" s="11">
        <v>2865.94</v>
      </c>
      <c r="C18" s="11">
        <v>2362.3000000000002</v>
      </c>
      <c r="D18" s="11">
        <v>229.67</v>
      </c>
      <c r="E18" s="11">
        <v>77.86</v>
      </c>
      <c r="F18" s="11">
        <v>216.99</v>
      </c>
      <c r="G18" s="11">
        <v>99.66</v>
      </c>
      <c r="H18" s="11">
        <f>4278.56+345.36+214.62</f>
        <v>4838.54</v>
      </c>
      <c r="I18" s="11">
        <v>679.65</v>
      </c>
      <c r="J18" s="11">
        <v>64.31</v>
      </c>
      <c r="K18" s="11">
        <v>58.52</v>
      </c>
      <c r="L18" s="11">
        <f>3234.77+270.22+167.93</f>
        <v>3672.9199999999996</v>
      </c>
      <c r="M18" s="11">
        <v>460.76</v>
      </c>
      <c r="N18" s="11">
        <f t="shared" si="12"/>
        <v>15627.119999999999</v>
      </c>
    </row>
    <row r="19" spans="1:15" ht="26.25" customHeight="1" thickBot="1" x14ac:dyDescent="0.3">
      <c r="A19" s="4" t="s">
        <v>19</v>
      </c>
      <c r="B19" s="11">
        <v>192.39</v>
      </c>
      <c r="C19" s="11">
        <v>184.87</v>
      </c>
      <c r="D19" s="11">
        <v>170.45</v>
      </c>
      <c r="E19" s="11">
        <f>137.49+23.12</f>
        <v>160.61000000000001</v>
      </c>
      <c r="F19" s="11">
        <f>156.63+14.36</f>
        <v>170.99</v>
      </c>
      <c r="G19" s="11">
        <f>157.69+11.56</f>
        <v>169.25</v>
      </c>
      <c r="H19" s="11">
        <f>70.17+11.56+11.56+7.18+7.18</f>
        <v>107.65</v>
      </c>
      <c r="I19" s="11">
        <f>170.91+11.56+7.18</f>
        <v>189.65</v>
      </c>
      <c r="J19" s="11">
        <v>15.17</v>
      </c>
      <c r="K19" s="11">
        <v>0</v>
      </c>
      <c r="L19" s="11">
        <v>0</v>
      </c>
      <c r="M19" s="11">
        <v>0</v>
      </c>
      <c r="N19" s="11">
        <f t="shared" si="12"/>
        <v>1361.0300000000002</v>
      </c>
    </row>
    <row r="20" spans="1:15" ht="26.25" customHeight="1" thickBot="1" x14ac:dyDescent="0.3">
      <c r="A20" s="4" t="s">
        <v>20</v>
      </c>
      <c r="B20" s="11">
        <v>5.77</v>
      </c>
      <c r="C20" s="11">
        <v>1.3</v>
      </c>
      <c r="D20" s="11">
        <v>10.25</v>
      </c>
      <c r="E20" s="11">
        <v>6.71</v>
      </c>
      <c r="F20" s="11">
        <v>7.02</v>
      </c>
      <c r="G20" s="11">
        <v>24.72</v>
      </c>
      <c r="H20" s="11">
        <v>2.13</v>
      </c>
      <c r="I20" s="11">
        <v>1.67</v>
      </c>
      <c r="J20" s="11">
        <v>7.23</v>
      </c>
      <c r="K20" s="11">
        <v>2.0499999999999998</v>
      </c>
      <c r="L20" s="11">
        <v>4.66</v>
      </c>
      <c r="M20" s="11">
        <v>4.41</v>
      </c>
      <c r="N20" s="11">
        <f t="shared" si="12"/>
        <v>77.919999999999987</v>
      </c>
    </row>
    <row r="21" spans="1:15" ht="26.25" customHeight="1" thickBot="1" x14ac:dyDescent="0.3">
      <c r="A21" s="4" t="s">
        <v>27</v>
      </c>
      <c r="B21" s="11">
        <v>273.60000000000002</v>
      </c>
      <c r="C21" s="11">
        <v>280.39999999999998</v>
      </c>
      <c r="D21" s="11">
        <v>248.11</v>
      </c>
      <c r="E21" s="11">
        <f>200.16+31.8</f>
        <v>231.96</v>
      </c>
      <c r="F21" s="11">
        <f>227.68+19.76</f>
        <v>247.44</v>
      </c>
      <c r="G21" s="11">
        <f>250.69+15.9</f>
        <v>266.58999999999997</v>
      </c>
      <c r="H21" s="11">
        <f>275.5+15.9+15.9+9.88+9.88</f>
        <v>327.05999999999995</v>
      </c>
      <c r="I21" s="11">
        <f>267.12+15.9+9.88</f>
        <v>292.89999999999998</v>
      </c>
      <c r="J21" s="11">
        <f>205.93+15.9+9.88</f>
        <v>231.71</v>
      </c>
      <c r="K21" s="11">
        <f>254.37+15.9+9.88</f>
        <v>280.14999999999998</v>
      </c>
      <c r="L21" s="11">
        <f>222+15.9+9.88</f>
        <v>247.78</v>
      </c>
      <c r="M21" s="11">
        <f>251.58+15.9+9.88</f>
        <v>277.36</v>
      </c>
      <c r="N21" s="11">
        <f t="shared" si="12"/>
        <v>3205.0600000000004</v>
      </c>
    </row>
    <row r="22" spans="1:15" ht="26.25" customHeight="1" thickBot="1" x14ac:dyDescent="0.3">
      <c r="A22" s="4" t="s">
        <v>15</v>
      </c>
      <c r="B22" s="14">
        <v>2010</v>
      </c>
      <c r="C22" s="14">
        <v>1800</v>
      </c>
      <c r="D22" s="14">
        <v>2010</v>
      </c>
      <c r="E22" s="14">
        <v>1600</v>
      </c>
      <c r="F22" s="14">
        <v>1600</v>
      </c>
      <c r="G22" s="14">
        <v>1600</v>
      </c>
      <c r="H22" s="14">
        <v>2200</v>
      </c>
      <c r="I22" s="14">
        <v>2400</v>
      </c>
      <c r="J22" s="14">
        <v>1600</v>
      </c>
      <c r="K22" s="11">
        <v>2290</v>
      </c>
      <c r="L22" s="11">
        <v>1800</v>
      </c>
      <c r="M22" s="11">
        <v>1800</v>
      </c>
      <c r="N22" s="11">
        <f t="shared" si="12"/>
        <v>22710</v>
      </c>
      <c r="O22" s="3"/>
    </row>
    <row r="23" spans="1:15" ht="21.75" customHeight="1" thickBot="1" x14ac:dyDescent="0.3">
      <c r="A23" s="15" t="s">
        <v>25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F24" si="16">2653.5*0.55</f>
        <v>1459.4250000000002</v>
      </c>
      <c r="C24" s="11">
        <f t="shared" si="16"/>
        <v>1459.4250000000002</v>
      </c>
      <c r="D24" s="11">
        <f t="shared" si="16"/>
        <v>1459.4250000000002</v>
      </c>
      <c r="E24" s="11">
        <f t="shared" si="16"/>
        <v>1459.4250000000002</v>
      </c>
      <c r="F24" s="11">
        <f t="shared" si="16"/>
        <v>1459.4250000000002</v>
      </c>
      <c r="G24" s="11">
        <f>2653.5*0.55</f>
        <v>1459.4250000000002</v>
      </c>
      <c r="H24" s="11">
        <f t="shared" ref="H24:M24" si="17">2653.5*0.55</f>
        <v>1459.4250000000002</v>
      </c>
      <c r="I24" s="11">
        <f t="shared" si="17"/>
        <v>1459.4250000000002</v>
      </c>
      <c r="J24" s="11">
        <f t="shared" si="17"/>
        <v>1459.4250000000002</v>
      </c>
      <c r="K24" s="11">
        <f t="shared" si="17"/>
        <v>1459.4250000000002</v>
      </c>
      <c r="L24" s="11">
        <f t="shared" si="17"/>
        <v>1459.4250000000002</v>
      </c>
      <c r="M24" s="11">
        <f t="shared" si="17"/>
        <v>1459.4250000000002</v>
      </c>
      <c r="N24" s="11">
        <f t="shared" ref="N24:N36" si="18">SUM(B24:M24)</f>
        <v>17513.099999999999</v>
      </c>
    </row>
    <row r="25" spans="1:15" ht="22.5" customHeight="1" thickBot="1" x14ac:dyDescent="0.3">
      <c r="A25" s="4" t="s">
        <v>2</v>
      </c>
      <c r="B25" s="11">
        <f t="shared" ref="B25:M25" si="19">2653.5*0.17</f>
        <v>451.09500000000003</v>
      </c>
      <c r="C25" s="11">
        <f t="shared" si="19"/>
        <v>451.09500000000003</v>
      </c>
      <c r="D25" s="11">
        <f t="shared" si="19"/>
        <v>451.09500000000003</v>
      </c>
      <c r="E25" s="11">
        <f t="shared" si="19"/>
        <v>451.09500000000003</v>
      </c>
      <c r="F25" s="11">
        <f t="shared" si="19"/>
        <v>451.09500000000003</v>
      </c>
      <c r="G25" s="11">
        <f t="shared" si="19"/>
        <v>451.09500000000003</v>
      </c>
      <c r="H25" s="11">
        <f t="shared" si="19"/>
        <v>451.09500000000003</v>
      </c>
      <c r="I25" s="11">
        <f t="shared" si="19"/>
        <v>451.09500000000003</v>
      </c>
      <c r="J25" s="11">
        <f t="shared" si="19"/>
        <v>451.09500000000003</v>
      </c>
      <c r="K25" s="11">
        <f t="shared" si="19"/>
        <v>451.09500000000003</v>
      </c>
      <c r="L25" s="11">
        <f t="shared" si="19"/>
        <v>451.09500000000003</v>
      </c>
      <c r="M25" s="11">
        <f t="shared" si="19"/>
        <v>451.09500000000003</v>
      </c>
      <c r="N25" s="11">
        <f t="shared" si="18"/>
        <v>5413.1400000000021</v>
      </c>
    </row>
    <row r="26" spans="1:15" ht="21" customHeight="1" thickBot="1" x14ac:dyDescent="0.3">
      <c r="A26" s="4" t="s">
        <v>3</v>
      </c>
      <c r="B26" s="11">
        <f>42389.07*2.3%</f>
        <v>974.94861000000003</v>
      </c>
      <c r="C26" s="11">
        <f>39953.11*2.3%</f>
        <v>918.92152999999996</v>
      </c>
      <c r="D26" s="11">
        <f>39953.11*2.3%</f>
        <v>918.92152999999996</v>
      </c>
      <c r="E26" s="11">
        <f>39953.11*2.3%</f>
        <v>918.92152999999996</v>
      </c>
      <c r="F26" s="11">
        <f>39946.52*2.3%</f>
        <v>918.76995999999986</v>
      </c>
      <c r="G26" s="11">
        <f>45323.73*2.3%</f>
        <v>1042.44579</v>
      </c>
      <c r="H26" s="11">
        <f>39951.36*2.3%</f>
        <v>918.88127999999995</v>
      </c>
      <c r="I26" s="11">
        <f>39762.85*2.3%</f>
        <v>914.54554999999993</v>
      </c>
      <c r="J26" s="11">
        <f>43448.4*2.3%</f>
        <v>999.31320000000005</v>
      </c>
      <c r="K26" s="11">
        <f>39991.73*2.3%</f>
        <v>919.80979000000002</v>
      </c>
      <c r="L26" s="11">
        <f>39762.85*2.3%</f>
        <v>914.54554999999993</v>
      </c>
      <c r="M26" s="11">
        <f>39782.08*2.3%</f>
        <v>914.98784000000001</v>
      </c>
      <c r="N26" s="11">
        <f t="shared" si="18"/>
        <v>11275.012159999998</v>
      </c>
    </row>
    <row r="27" spans="1:15" ht="23.25" customHeight="1" thickBot="1" x14ac:dyDescent="0.3">
      <c r="A27" s="4" t="s">
        <v>4</v>
      </c>
      <c r="B27" s="11">
        <f>41064.76*3%</f>
        <v>1231.9428</v>
      </c>
      <c r="C27" s="11">
        <f>38974.34*3%</f>
        <v>1169.2301999999997</v>
      </c>
      <c r="D27" s="11">
        <f>32700.21*3%</f>
        <v>981.0062999999999</v>
      </c>
      <c r="E27" s="11">
        <f>29639.24*3%</f>
        <v>889.17719999999997</v>
      </c>
      <c r="F27" s="11">
        <f>34209.28*3%</f>
        <v>1026.2783999999999</v>
      </c>
      <c r="G27" s="11">
        <f>36639*3%</f>
        <v>1099.17</v>
      </c>
      <c r="H27" s="11">
        <f>45670.11*3%</f>
        <v>1370.1033</v>
      </c>
      <c r="I27" s="11">
        <f>39489.03*3%</f>
        <v>1184.6708999999998</v>
      </c>
      <c r="J27" s="11">
        <f>47817.7*3%</f>
        <v>1434.5309999999999</v>
      </c>
      <c r="K27" s="11">
        <f>36792.4*3%</f>
        <v>1103.7719999999999</v>
      </c>
      <c r="L27" s="11">
        <f>35688.29*3%</f>
        <v>1070.6487</v>
      </c>
      <c r="M27" s="11">
        <f>37740.64*3%</f>
        <v>1132.2192</v>
      </c>
      <c r="N27" s="11">
        <f t="shared" si="18"/>
        <v>13692.749999999998</v>
      </c>
    </row>
    <row r="28" spans="1:15" ht="23.25" customHeight="1" thickBot="1" x14ac:dyDescent="0.3">
      <c r="A28" s="4" t="s">
        <v>9</v>
      </c>
      <c r="B28" s="11">
        <f>2653.5*7.4</f>
        <v>19635.900000000001</v>
      </c>
      <c r="C28" s="11">
        <v>19635.900000000001</v>
      </c>
      <c r="D28" s="11">
        <v>19635.900000000001</v>
      </c>
      <c r="E28" s="11">
        <v>19635.900000000001</v>
      </c>
      <c r="F28" s="11">
        <v>19635.900000000001</v>
      </c>
      <c r="G28" s="11">
        <v>19635.900000000001</v>
      </c>
      <c r="H28" s="11">
        <v>19635.900000000001</v>
      </c>
      <c r="I28" s="11">
        <v>19635.900000000001</v>
      </c>
      <c r="J28" s="11">
        <v>19635.900000000001</v>
      </c>
      <c r="K28" s="11">
        <f>2653.5*8.5</f>
        <v>22554.75</v>
      </c>
      <c r="L28" s="11">
        <f t="shared" ref="L28:M28" si="20">2653.5*8.5</f>
        <v>22554.75</v>
      </c>
      <c r="M28" s="11">
        <f t="shared" si="20"/>
        <v>22554.75</v>
      </c>
      <c r="N28" s="11">
        <f t="shared" si="18"/>
        <v>244387.34999999998</v>
      </c>
    </row>
    <row r="29" spans="1:15" ht="26.25" customHeight="1" thickBot="1" x14ac:dyDescent="0.3">
      <c r="A29" s="4" t="s">
        <v>21</v>
      </c>
      <c r="B29" s="11">
        <v>0</v>
      </c>
      <c r="C29" s="11">
        <v>0</v>
      </c>
      <c r="D29" s="11">
        <v>0</v>
      </c>
      <c r="E29" s="11">
        <f>0</f>
        <v>0</v>
      </c>
      <c r="F29" s="11">
        <f>5829.74+524.76</f>
        <v>6354.5</v>
      </c>
      <c r="G29" s="11">
        <f>0</f>
        <v>0</v>
      </c>
      <c r="H29" s="11">
        <f>0</f>
        <v>0</v>
      </c>
      <c r="I29" s="11">
        <f>0</f>
        <v>0</v>
      </c>
      <c r="J29" s="11">
        <f>4361.69+608.42</f>
        <v>4970.1099999999997</v>
      </c>
      <c r="K29" s="11">
        <v>0</v>
      </c>
      <c r="L29" s="11">
        <f>0.18+20.85</f>
        <v>21.03</v>
      </c>
      <c r="M29" s="11">
        <v>0</v>
      </c>
      <c r="N29" s="11">
        <f t="shared" si="18"/>
        <v>11345.640000000001</v>
      </c>
    </row>
    <row r="30" spans="1:15" ht="26.25" customHeight="1" thickBot="1" x14ac:dyDescent="0.3">
      <c r="A30" s="4" t="s">
        <v>22</v>
      </c>
      <c r="B30" s="11">
        <v>206.76</v>
      </c>
      <c r="C30" s="11">
        <v>206.76</v>
      </c>
      <c r="D30" s="11">
        <v>206.76</v>
      </c>
      <c r="E30" s="11">
        <v>0</v>
      </c>
      <c r="F30" s="11">
        <v>206.76</v>
      </c>
      <c r="G30" s="11">
        <v>206.76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8"/>
        <v>1033.8</v>
      </c>
    </row>
    <row r="31" spans="1:15" ht="26.25" customHeight="1" thickBot="1" x14ac:dyDescent="0.3">
      <c r="A31" s="4" t="s">
        <v>23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8"/>
        <v>0</v>
      </c>
    </row>
    <row r="32" spans="1:15" ht="26.25" customHeight="1" thickBot="1" x14ac:dyDescent="0.3">
      <c r="A32" s="4" t="s">
        <v>27</v>
      </c>
      <c r="B32" s="11">
        <v>295.63</v>
      </c>
      <c r="C32" s="11">
        <v>295.63</v>
      </c>
      <c r="D32" s="11">
        <v>295.63</v>
      </c>
      <c r="E32" s="11">
        <v>295.63</v>
      </c>
      <c r="F32" s="11">
        <v>295.63</v>
      </c>
      <c r="G32" s="11">
        <v>295.63</v>
      </c>
      <c r="H32" s="11">
        <v>300.92</v>
      </c>
      <c r="I32" s="11">
        <v>300.92</v>
      </c>
      <c r="J32" s="11">
        <v>300.92</v>
      </c>
      <c r="K32" s="11">
        <v>300.92</v>
      </c>
      <c r="L32" s="11">
        <v>300.92</v>
      </c>
      <c r="M32" s="11">
        <v>300.92</v>
      </c>
      <c r="N32" s="11">
        <f t="shared" si="18"/>
        <v>3579.3000000000006</v>
      </c>
    </row>
    <row r="33" spans="1:14" ht="22.5" customHeight="1" thickBot="1" x14ac:dyDescent="0.3">
      <c r="A33" s="4" t="s">
        <v>6</v>
      </c>
      <c r="B33" s="11">
        <f>2653.5*2.34</f>
        <v>6209.19</v>
      </c>
      <c r="C33" s="11">
        <f t="shared" ref="C33:M33" si="21">2653.5*2.34</f>
        <v>6209.19</v>
      </c>
      <c r="D33" s="11">
        <f t="shared" si="21"/>
        <v>6209.19</v>
      </c>
      <c r="E33" s="11">
        <f t="shared" si="21"/>
        <v>6209.19</v>
      </c>
      <c r="F33" s="11">
        <f t="shared" si="21"/>
        <v>6209.19</v>
      </c>
      <c r="G33" s="11">
        <f t="shared" si="21"/>
        <v>6209.19</v>
      </c>
      <c r="H33" s="11">
        <f t="shared" si="21"/>
        <v>6209.19</v>
      </c>
      <c r="I33" s="11">
        <f t="shared" si="21"/>
        <v>6209.19</v>
      </c>
      <c r="J33" s="11">
        <f t="shared" si="21"/>
        <v>6209.19</v>
      </c>
      <c r="K33" s="11">
        <f t="shared" si="21"/>
        <v>6209.19</v>
      </c>
      <c r="L33" s="11">
        <f t="shared" si="21"/>
        <v>6209.19</v>
      </c>
      <c r="M33" s="11">
        <f t="shared" si="21"/>
        <v>6209.19</v>
      </c>
      <c r="N33" s="11">
        <f t="shared" si="18"/>
        <v>74510.280000000013</v>
      </c>
    </row>
    <row r="34" spans="1:14" ht="24.75" customHeight="1" thickBot="1" x14ac:dyDescent="0.3">
      <c r="A34" s="4" t="s">
        <v>26</v>
      </c>
      <c r="B34" s="11">
        <f>1140</f>
        <v>1140</v>
      </c>
      <c r="C34" s="11">
        <v>1140</v>
      </c>
      <c r="D34" s="11">
        <v>1140</v>
      </c>
      <c r="E34" s="11">
        <v>1140</v>
      </c>
      <c r="F34" s="11">
        <v>1140</v>
      </c>
      <c r="G34" s="11">
        <v>1140</v>
      </c>
      <c r="H34" s="11">
        <v>0</v>
      </c>
      <c r="I34" s="11">
        <f>1140</f>
        <v>1140</v>
      </c>
      <c r="J34" s="11">
        <f>1140</f>
        <v>1140</v>
      </c>
      <c r="K34" s="11">
        <f>1140</f>
        <v>1140</v>
      </c>
      <c r="L34" s="11">
        <f>1140</f>
        <v>1140</v>
      </c>
      <c r="M34" s="11">
        <f>1140</f>
        <v>1140</v>
      </c>
      <c r="N34" s="11">
        <f t="shared" si="18"/>
        <v>12540</v>
      </c>
    </row>
    <row r="35" spans="1:14" ht="24.75" customHeight="1" thickBot="1" x14ac:dyDescent="0.3">
      <c r="A35" s="4" t="s">
        <v>14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9483.7000000000007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 t="shared" si="18"/>
        <v>9483.7000000000007</v>
      </c>
    </row>
    <row r="36" spans="1:14" ht="24" customHeight="1" thickBot="1" x14ac:dyDescent="0.3">
      <c r="A36" s="4" t="s">
        <v>10</v>
      </c>
      <c r="B36" s="11">
        <f>3331.3</f>
        <v>3331.3</v>
      </c>
      <c r="C36" s="11">
        <f>75</f>
        <v>75</v>
      </c>
      <c r="D36" s="11">
        <f>4149.1</f>
        <v>4149.1000000000004</v>
      </c>
      <c r="E36" s="11">
        <f>133200</f>
        <v>133200</v>
      </c>
      <c r="F36" s="11">
        <f>4392.5+1813.6+180127.16</f>
        <v>186333.26</v>
      </c>
      <c r="G36" s="11">
        <f>30485.05+21375</f>
        <v>51860.05</v>
      </c>
      <c r="H36" s="11">
        <f>12705</f>
        <v>12705</v>
      </c>
      <c r="I36" s="11">
        <f>11244+26849.2</f>
        <v>38093.199999999997</v>
      </c>
      <c r="J36" s="11">
        <f>39150+2770+1496</f>
        <v>43416</v>
      </c>
      <c r="K36" s="11">
        <v>0</v>
      </c>
      <c r="L36" s="11">
        <f>1372.3+23124.9+1727</f>
        <v>26224.2</v>
      </c>
      <c r="M36" s="11">
        <f>2065.7</f>
        <v>2065.6999999999998</v>
      </c>
      <c r="N36" s="11">
        <f t="shared" si="18"/>
        <v>501452.81000000006</v>
      </c>
    </row>
    <row r="37" spans="1:14" ht="22.5" customHeight="1" thickBot="1" x14ac:dyDescent="0.3">
      <c r="A37" s="9" t="s">
        <v>24</v>
      </c>
      <c r="B37" s="10">
        <f t="shared" ref="B37:M37" si="22">SUM(B24:B36)</f>
        <v>34936.191409999999</v>
      </c>
      <c r="C37" s="10">
        <f t="shared" si="22"/>
        <v>31561.151730000001</v>
      </c>
      <c r="D37" s="10">
        <f t="shared" si="22"/>
        <v>35447.027829999999</v>
      </c>
      <c r="E37" s="10">
        <f t="shared" si="22"/>
        <v>164199.33873000002</v>
      </c>
      <c r="F37" s="10">
        <f t="shared" si="22"/>
        <v>224030.80836000002</v>
      </c>
      <c r="G37" s="10">
        <f t="shared" si="22"/>
        <v>83399.665789999999</v>
      </c>
      <c r="H37" s="10">
        <f t="shared" si="22"/>
        <v>52534.21458</v>
      </c>
      <c r="I37" s="10">
        <f t="shared" si="22"/>
        <v>69388.946449999989</v>
      </c>
      <c r="J37" s="10">
        <f t="shared" si="22"/>
        <v>80016.484200000006</v>
      </c>
      <c r="K37" s="10">
        <f t="shared" si="22"/>
        <v>34138.961790000001</v>
      </c>
      <c r="L37" s="10">
        <f t="shared" si="22"/>
        <v>60345.804250000001</v>
      </c>
      <c r="M37" s="10">
        <f t="shared" si="22"/>
        <v>36228.287039999996</v>
      </c>
      <c r="N37" s="10">
        <f>SUM(B37:M37)</f>
        <v>906226.88216000004</v>
      </c>
    </row>
    <row r="38" spans="1:14" ht="23.25" customHeight="1" thickBot="1" x14ac:dyDescent="0.3">
      <c r="A38" s="4" t="s">
        <v>5</v>
      </c>
      <c r="B38" s="18">
        <f t="shared" ref="B38:N38" si="23">B15-B37</f>
        <v>11977.608590000003</v>
      </c>
      <c r="C38" s="18">
        <f t="shared" si="23"/>
        <v>13147.398270000002</v>
      </c>
      <c r="D38" s="18">
        <f t="shared" si="23"/>
        <v>3057.2721699999965</v>
      </c>
      <c r="E38" s="18">
        <f t="shared" si="23"/>
        <v>-128390.99873000002</v>
      </c>
      <c r="F38" s="18">
        <f t="shared" si="23"/>
        <v>-185382.04836000002</v>
      </c>
      <c r="G38" s="18">
        <f t="shared" si="23"/>
        <v>-42876.115789999996</v>
      </c>
      <c r="H38" s="18">
        <f t="shared" si="23"/>
        <v>3049.4154199999975</v>
      </c>
      <c r="I38" s="18">
        <f t="shared" si="23"/>
        <v>-23795.626449999989</v>
      </c>
      <c r="J38" s="18">
        <f t="shared" si="23"/>
        <v>-26913.234200000006</v>
      </c>
      <c r="K38" s="18">
        <f t="shared" si="23"/>
        <v>8628.9882099999959</v>
      </c>
      <c r="L38" s="18">
        <f t="shared" si="23"/>
        <v>-18733.814250000003</v>
      </c>
      <c r="M38" s="18">
        <f t="shared" si="23"/>
        <v>6997.902960000014</v>
      </c>
      <c r="N38" s="11">
        <f t="shared" si="23"/>
        <v>-379233.25216000003</v>
      </c>
    </row>
    <row r="39" spans="1:14" ht="23.25" customHeight="1" thickBot="1" x14ac:dyDescent="0.3">
      <c r="A39" s="4" t="s">
        <v>7</v>
      </c>
      <c r="B39" s="14">
        <f>B5+B38</f>
        <v>-77633.891409999997</v>
      </c>
      <c r="C39" s="19">
        <f>B39+C38</f>
        <v>-64486.493139999991</v>
      </c>
      <c r="D39" s="19">
        <f>C39+D38</f>
        <v>-61429.220969999995</v>
      </c>
      <c r="E39" s="14">
        <f>D39+E38</f>
        <v>-189820.21970000002</v>
      </c>
      <c r="F39" s="19">
        <f>E39+F38</f>
        <v>-375202.26806000003</v>
      </c>
      <c r="G39" s="19">
        <f>F39+G38</f>
        <v>-418078.38385000004</v>
      </c>
      <c r="H39" s="19">
        <f t="shared" ref="H39:J39" si="24">G39+H38</f>
        <v>-415028.96843000007</v>
      </c>
      <c r="I39" s="19">
        <f t="shared" si="24"/>
        <v>-438824.59488000005</v>
      </c>
      <c r="J39" s="19">
        <f t="shared" si="24"/>
        <v>-465737.82908000005</v>
      </c>
      <c r="K39" s="19">
        <f t="shared" ref="K39" si="25">J39+K38</f>
        <v>-457108.84087000007</v>
      </c>
      <c r="L39" s="19">
        <f t="shared" ref="L39" si="26">K39+L38</f>
        <v>-475842.65512000007</v>
      </c>
      <c r="M39" s="19">
        <f t="shared" ref="M39" si="27">L39+M38</f>
        <v>-468844.75216000003</v>
      </c>
      <c r="N39" s="18">
        <f>N5+N38</f>
        <v>-468844.75216000003</v>
      </c>
    </row>
    <row r="40" spans="1:14" ht="27" customHeight="1" thickBot="1" x14ac:dyDescent="0.3">
      <c r="A40" s="15" t="s">
        <v>11</v>
      </c>
      <c r="B40" s="20">
        <f t="shared" ref="B40:D40" si="28">B6+B15-B7</f>
        <v>-125816.57999999999</v>
      </c>
      <c r="C40" s="20">
        <f t="shared" si="28"/>
        <v>-126635.42999999998</v>
      </c>
      <c r="D40" s="20">
        <f t="shared" si="28"/>
        <v>-133658.52999999997</v>
      </c>
      <c r="E40" s="20">
        <f>E6+E15-E7</f>
        <v>-143377.58999999997</v>
      </c>
      <c r="F40" s="20">
        <f>F6+F15-F7</f>
        <v>-150249.63999999996</v>
      </c>
      <c r="G40" s="20">
        <f>G6+G15-G7</f>
        <v>-161165.34999999995</v>
      </c>
      <c r="H40" s="20">
        <f t="shared" ref="H40:M40" si="29">H6+H15-H7</f>
        <v>-151107.36999999994</v>
      </c>
      <c r="I40" s="20">
        <f t="shared" si="29"/>
        <v>-150832.44999999992</v>
      </c>
      <c r="J40" s="20">
        <f t="shared" si="29"/>
        <v>-143047.59999999992</v>
      </c>
      <c r="K40" s="20">
        <f t="shared" si="29"/>
        <v>-146265.07999999993</v>
      </c>
      <c r="L40" s="20">
        <f t="shared" si="29"/>
        <v>-149971.48999999993</v>
      </c>
      <c r="M40" s="20">
        <f t="shared" si="29"/>
        <v>-152085.27999999994</v>
      </c>
      <c r="N40" s="17">
        <f t="shared" ref="N40" si="30">N6+N15-N7</f>
        <v>-152085.28000000003</v>
      </c>
    </row>
    <row r="41" spans="1:14" ht="21.75" customHeight="1" thickBot="1" x14ac:dyDescent="0.35">
      <c r="A41" s="25" t="s">
        <v>41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2">
        <v>10613.29</v>
      </c>
    </row>
    <row r="42" spans="1:14" ht="19.5" customHeight="1" thickBot="1" x14ac:dyDescent="0.35">
      <c r="A42" s="25" t="s">
        <v>11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2">
        <f>N40+N41</f>
        <v>-141471.99000000002</v>
      </c>
    </row>
  </sheetData>
  <mergeCells count="3">
    <mergeCell ref="A1:N1"/>
    <mergeCell ref="A41:M41"/>
    <mergeCell ref="A42:M42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2022-03-18T02:35:49Z</cp:lastPrinted>
  <dcterms:created xsi:type="dcterms:W3CDTF">2011-06-06T03:25:48Z</dcterms:created>
  <dcterms:modified xsi:type="dcterms:W3CDTF">2022-03-18T02:36:55Z</dcterms:modified>
</cp:coreProperties>
</file>