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1" sheetId="1" r:id="rId1"/>
  </sheets>
  <calcPr calcId="144525" refMode="R1C1"/>
</workbook>
</file>

<file path=xl/calcChain.xml><?xml version="1.0" encoding="utf-8"?>
<calcChain xmlns="http://schemas.openxmlformats.org/spreadsheetml/2006/main">
  <c r="M14" i="1" l="1"/>
  <c r="M12" i="1"/>
  <c r="M11" i="1"/>
  <c r="M13" i="1"/>
  <c r="M9" i="1"/>
  <c r="L23" i="1"/>
  <c r="L21" i="1"/>
  <c r="L20" i="1"/>
  <c r="L22" i="1"/>
  <c r="L14" i="1"/>
  <c r="L12" i="1"/>
  <c r="L11" i="1"/>
  <c r="L13" i="1"/>
  <c r="L9" i="1"/>
  <c r="K14" i="1"/>
  <c r="K10" i="1"/>
  <c r="K12" i="1"/>
  <c r="K13" i="1"/>
  <c r="K9" i="1"/>
  <c r="N24" i="1" l="1"/>
  <c r="L40" i="1" l="1"/>
  <c r="M40" i="1" l="1"/>
  <c r="M38" i="1" l="1"/>
  <c r="L38" i="1" l="1"/>
  <c r="K38" i="1" l="1"/>
  <c r="K31" i="1" l="1"/>
  <c r="M29" i="1" l="1"/>
  <c r="M17" i="1"/>
  <c r="M28" i="1"/>
  <c r="M8" i="1"/>
  <c r="L29" i="1" l="1"/>
  <c r="L17" i="1"/>
  <c r="L28" i="1"/>
  <c r="L8" i="1"/>
  <c r="K40" i="1" l="1"/>
  <c r="K29" i="1" l="1"/>
  <c r="K17" i="1"/>
  <c r="K28" i="1"/>
  <c r="K8" i="1"/>
  <c r="K35" i="1" l="1"/>
  <c r="L35" i="1"/>
  <c r="M35" i="1"/>
  <c r="K30" i="1"/>
  <c r="L30" i="1"/>
  <c r="M30" i="1"/>
  <c r="K27" i="1"/>
  <c r="L27" i="1"/>
  <c r="M27" i="1"/>
  <c r="K26" i="1"/>
  <c r="L26" i="1"/>
  <c r="M26" i="1"/>
  <c r="J23" i="1" l="1"/>
  <c r="J19" i="1"/>
  <c r="J21" i="1"/>
  <c r="J20" i="1"/>
  <c r="J22" i="1"/>
  <c r="J14" i="1"/>
  <c r="J12" i="1"/>
  <c r="J11" i="1"/>
  <c r="J13" i="1"/>
  <c r="J18" i="1"/>
  <c r="J9" i="1"/>
  <c r="I23" i="1"/>
  <c r="I19" i="1"/>
  <c r="I21" i="1"/>
  <c r="I22" i="1"/>
  <c r="I14" i="1"/>
  <c r="I10" i="1"/>
  <c r="I12" i="1"/>
  <c r="I11" i="1"/>
  <c r="I13" i="1"/>
  <c r="I18" i="1"/>
  <c r="I9" i="1"/>
  <c r="H23" i="1"/>
  <c r="H19" i="1"/>
  <c r="H21" i="1"/>
  <c r="H22" i="1"/>
  <c r="H14" i="1"/>
  <c r="H10" i="1"/>
  <c r="H12" i="1"/>
  <c r="H13" i="1"/>
  <c r="H18" i="1"/>
  <c r="H9" i="1"/>
  <c r="I35" i="1" l="1"/>
  <c r="J35" i="1"/>
  <c r="H35" i="1"/>
  <c r="C35" i="1"/>
  <c r="D35" i="1"/>
  <c r="E35" i="1"/>
  <c r="F35" i="1"/>
  <c r="G35" i="1"/>
  <c r="B35" i="1"/>
  <c r="J40" i="1" l="1"/>
  <c r="I40" i="1" l="1"/>
  <c r="J31" i="1" l="1"/>
  <c r="H31" i="1"/>
  <c r="J38" i="1" l="1"/>
  <c r="I38" i="1" l="1"/>
  <c r="H38" i="1" l="1"/>
  <c r="I30" i="1" l="1"/>
  <c r="J30" i="1"/>
  <c r="H30" i="1"/>
  <c r="J29" i="1" l="1"/>
  <c r="J17" i="1"/>
  <c r="J28" i="1"/>
  <c r="J8" i="1"/>
  <c r="G38" i="1"/>
  <c r="H40" i="1" l="1"/>
  <c r="I29" i="1" l="1"/>
  <c r="I17" i="1"/>
  <c r="I28" i="1"/>
  <c r="I8" i="1"/>
  <c r="N37" i="1" l="1"/>
  <c r="H29" i="1" l="1"/>
  <c r="H17" i="1"/>
  <c r="H28" i="1"/>
  <c r="H8" i="1"/>
  <c r="H27" i="1" l="1"/>
  <c r="I27" i="1"/>
  <c r="J27" i="1"/>
  <c r="G27" i="1"/>
  <c r="H26" i="1"/>
  <c r="I26" i="1"/>
  <c r="J26" i="1"/>
  <c r="G26" i="1"/>
  <c r="G14" i="1" l="1"/>
  <c r="G10" i="1"/>
  <c r="G12" i="1"/>
  <c r="G13" i="1"/>
  <c r="G9" i="1"/>
  <c r="F23" i="1"/>
  <c r="F19" i="1"/>
  <c r="F21" i="1"/>
  <c r="F22" i="1"/>
  <c r="F14" i="1"/>
  <c r="F10" i="1"/>
  <c r="F13" i="1"/>
  <c r="F18" i="1"/>
  <c r="F9" i="1"/>
  <c r="E14" i="1"/>
  <c r="E10" i="1"/>
  <c r="E13" i="1"/>
  <c r="E9" i="1"/>
  <c r="F38" i="1" l="1"/>
  <c r="E38" i="1" l="1"/>
  <c r="G31" i="1" l="1"/>
  <c r="F31" i="1"/>
  <c r="E31" i="1"/>
  <c r="G29" i="1" l="1"/>
  <c r="G17" i="1"/>
  <c r="G28" i="1"/>
  <c r="G8" i="1"/>
  <c r="F29" i="1" l="1"/>
  <c r="F17" i="1"/>
  <c r="F28" i="1"/>
  <c r="F8" i="1"/>
  <c r="E29" i="1" l="1"/>
  <c r="E17" i="1"/>
  <c r="E28" i="1"/>
  <c r="E8" i="1"/>
  <c r="E40" i="1" l="1"/>
  <c r="E27" i="1" l="1"/>
  <c r="F27" i="1"/>
  <c r="E26" i="1"/>
  <c r="F26" i="1"/>
  <c r="D26" i="1"/>
  <c r="D23" i="1" l="1"/>
  <c r="D19" i="1"/>
  <c r="D21" i="1"/>
  <c r="D22" i="1"/>
  <c r="D14" i="1"/>
  <c r="D10" i="1"/>
  <c r="D12" i="1"/>
  <c r="D13" i="1"/>
  <c r="D9" i="1"/>
  <c r="C23" i="1"/>
  <c r="C19" i="1"/>
  <c r="C21" i="1"/>
  <c r="C22" i="1"/>
  <c r="C14" i="1"/>
  <c r="C10" i="1"/>
  <c r="C12" i="1"/>
  <c r="C11" i="1"/>
  <c r="C13" i="1"/>
  <c r="C9" i="1"/>
  <c r="B23" i="1"/>
  <c r="B19" i="1"/>
  <c r="B21" i="1"/>
  <c r="B22" i="1"/>
  <c r="B14" i="1"/>
  <c r="B10" i="1"/>
  <c r="B12" i="1"/>
  <c r="B13" i="1"/>
  <c r="B18" i="1"/>
  <c r="B9" i="1"/>
  <c r="D38" i="1" l="1"/>
  <c r="D31" i="1" l="1"/>
  <c r="C31" i="1"/>
  <c r="B31" i="1"/>
  <c r="D40" i="1" l="1"/>
  <c r="C38" i="1" l="1"/>
  <c r="C40" i="1" l="1"/>
  <c r="D29" i="1" l="1"/>
  <c r="D17" i="1"/>
  <c r="D28" i="1"/>
  <c r="D8" i="1"/>
  <c r="C29" i="1" l="1"/>
  <c r="C17" i="1"/>
  <c r="C28" i="1"/>
  <c r="C8" i="1"/>
  <c r="B29" i="1" l="1"/>
  <c r="B17" i="1"/>
  <c r="B28" i="1"/>
  <c r="B8" i="1"/>
  <c r="B38" i="1" l="1"/>
  <c r="C27" i="1" l="1"/>
  <c r="D27" i="1"/>
  <c r="C26" i="1"/>
  <c r="B27" i="1"/>
  <c r="B26" i="1"/>
  <c r="J16" i="1" l="1"/>
  <c r="N15" i="1" l="1"/>
  <c r="N6" i="1" l="1"/>
  <c r="N5" i="1"/>
  <c r="N27" i="1"/>
  <c r="N26" i="1"/>
  <c r="N9" i="1"/>
  <c r="M16" i="1" l="1"/>
  <c r="N30" i="1"/>
  <c r="N31" i="1"/>
  <c r="N32" i="1"/>
  <c r="N33" i="1"/>
  <c r="N34" i="1"/>
  <c r="N35" i="1"/>
  <c r="N36" i="1"/>
  <c r="N38" i="1"/>
  <c r="N39" i="1"/>
  <c r="K16" i="1"/>
  <c r="L16" i="1"/>
  <c r="M41" i="1" l="1"/>
  <c r="M42" i="1" s="1"/>
  <c r="L41" i="1"/>
  <c r="L42" i="1" s="1"/>
  <c r="K41" i="1"/>
  <c r="K42" i="1" s="1"/>
  <c r="K7" i="1"/>
  <c r="L7" i="1"/>
  <c r="M7" i="1"/>
  <c r="N14" i="1"/>
  <c r="H16" i="1" l="1"/>
  <c r="I16" i="1"/>
  <c r="J41" i="1"/>
  <c r="J42" i="1" s="1"/>
  <c r="H7" i="1"/>
  <c r="I7" i="1"/>
  <c r="J7" i="1"/>
  <c r="D7" i="1"/>
  <c r="C7" i="1"/>
  <c r="B7" i="1"/>
  <c r="G7" i="1"/>
  <c r="N28" i="1"/>
  <c r="N18" i="1"/>
  <c r="N17" i="1"/>
  <c r="N22" i="1"/>
  <c r="N21" i="1"/>
  <c r="N20" i="1"/>
  <c r="N8" i="1"/>
  <c r="N13" i="1"/>
  <c r="N12" i="1"/>
  <c r="N11" i="1"/>
  <c r="N10" i="1"/>
  <c r="D16" i="1"/>
  <c r="C16" i="1"/>
  <c r="B16" i="1"/>
  <c r="H41" i="1" l="1"/>
  <c r="H42" i="1" s="1"/>
  <c r="C41" i="1"/>
  <c r="C42" i="1" s="1"/>
  <c r="N40" i="1"/>
  <c r="N19" i="1"/>
  <c r="N23" i="1"/>
  <c r="N29" i="1"/>
  <c r="E7" i="1"/>
  <c r="F7" i="1"/>
  <c r="F16" i="1"/>
  <c r="G16" i="1"/>
  <c r="G41" i="1" s="1"/>
  <c r="G42" i="1" s="1"/>
  <c r="E16" i="1"/>
  <c r="I41" i="1"/>
  <c r="I42" i="1" s="1"/>
  <c r="B44" i="1"/>
  <c r="C6" i="1" s="1"/>
  <c r="C44" i="1" s="1"/>
  <c r="D6" i="1" s="1"/>
  <c r="D44" i="1" s="1"/>
  <c r="E6" i="1" s="1"/>
  <c r="N7" i="1" l="1"/>
  <c r="E41" i="1"/>
  <c r="E42" i="1" s="1"/>
  <c r="N16" i="1"/>
  <c r="F41" i="1"/>
  <c r="F42" i="1" s="1"/>
  <c r="B41" i="1"/>
  <c r="E44" i="1"/>
  <c r="F6" i="1" s="1"/>
  <c r="F44" i="1" s="1"/>
  <c r="G6" i="1" s="1"/>
  <c r="G44" i="1" s="1"/>
  <c r="D41" i="1"/>
  <c r="D42" i="1" s="1"/>
  <c r="H6" i="1" l="1"/>
  <c r="H44" i="1" s="1"/>
  <c r="I6" i="1" s="1"/>
  <c r="I44" i="1" s="1"/>
  <c r="J6" i="1" s="1"/>
  <c r="J44" i="1" s="1"/>
  <c r="K6" i="1" s="1"/>
  <c r="K44" i="1" s="1"/>
  <c r="L6" i="1" s="1"/>
  <c r="L44" i="1" s="1"/>
  <c r="M6" i="1" s="1"/>
  <c r="M44" i="1" s="1"/>
  <c r="N44" i="1"/>
  <c r="B42" i="1"/>
  <c r="B43" i="1" s="1"/>
  <c r="N41" i="1"/>
  <c r="N42" i="1" s="1"/>
  <c r="N43" i="1" s="1"/>
  <c r="C43" i="1" l="1"/>
  <c r="C5" i="1"/>
  <c r="D5" i="1" l="1"/>
  <c r="D43" i="1"/>
  <c r="E5" i="1" l="1"/>
  <c r="E43" i="1"/>
  <c r="F5" i="1" l="1"/>
  <c r="F43" i="1"/>
  <c r="G5" i="1" s="1"/>
  <c r="G43" i="1" s="1"/>
  <c r="H5" i="1" l="1"/>
  <c r="H43" i="1" s="1"/>
  <c r="I5" i="1" s="1"/>
  <c r="I43" i="1" s="1"/>
  <c r="J5" i="1" s="1"/>
  <c r="J43" i="1" s="1"/>
  <c r="K5" i="1" s="1"/>
  <c r="K43" i="1" s="1"/>
  <c r="L5" i="1" s="1"/>
  <c r="L43" i="1" s="1"/>
  <c r="M5" i="1" s="1"/>
  <c r="M43" i="1" s="1"/>
</calcChain>
</file>

<file path=xl/sharedStrings.xml><?xml version="1.0" encoding="utf-8"?>
<sst xmlns="http://schemas.openxmlformats.org/spreadsheetml/2006/main" count="55" uniqueCount="45">
  <si>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</si>
  <si>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</si>
  <si>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</si>
  <si>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</si>
  <si>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</si>
  <si>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</si>
  <si>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</si>
  <si>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</si>
  <si>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</si>
  <si>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</si>
  <si>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</si>
  <si>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</si>
  <si>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</si>
  <si>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</si>
  <si>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Тех.обслуживание газового оборудования</t>
  </si>
  <si>
    <t>Дополнительный доход (использование общего имущества)</t>
  </si>
  <si>
    <t>Средства на счете дома на начало периода</t>
  </si>
  <si>
    <t>Содержание жилья и текущий ремонт /нежилые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</si>
  <si>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</si>
  <si>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</si>
  <si>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</si>
  <si>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</si>
  <si>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</si>
  <si>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</si>
  <si>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</si>
  <si>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</si>
  <si>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Тех.обслуживание приборов учета</t>
  </si>
  <si>
    <t>Вознаграждение, координация с советом МКД</t>
  </si>
  <si>
    <t>Отведение сточных вод ОИ</t>
  </si>
  <si>
    <t>Январь 2021г.</t>
  </si>
  <si>
    <t>Февраль 2021г.</t>
  </si>
  <si>
    <t>Март 2021г.</t>
  </si>
  <si>
    <t>Апрель 2021г.</t>
  </si>
  <si>
    <t>Май 2021г.</t>
  </si>
  <si>
    <t>Июнь 2021г.</t>
  </si>
  <si>
    <t>Июль 2021г</t>
  </si>
  <si>
    <t>Август 2021г</t>
  </si>
  <si>
    <t>Сентябрь 2021г</t>
  </si>
  <si>
    <t>Октябрь 2021г</t>
  </si>
  <si>
    <t>Ноябрь 2021г.</t>
  </si>
  <si>
    <t>Декабрь 2021г.</t>
  </si>
  <si>
    <t>Всего:                       за  2021г</t>
  </si>
  <si>
    <t>ЕИРКЦ (ведение счета по кап.ремонту)</t>
  </si>
  <si>
    <t xml:space="preserve">                 ОТЧЕТ по дому Васильева, 55 за период 01.01.2021г. по 31.12.2021г.</t>
  </si>
  <si>
    <t>Содержание жилья и текущий ремонт,  ОПУ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</si>
</sst>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8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Border="1"/>
    <xf numFmtId="0" fontId="5" fillId="0" borderId="3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0" fontId="7" fillId="4" borderId="3" xfId="0" applyFont="1" applyFill="1" applyBorder="1" applyAlignment="1">
      <alignment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0" fontId="7" fillId="0" borderId="3" xfId="0" applyFont="1" applyBorder="1" applyAlignment="1">
      <alignment vertical="top" wrapText="1"/>
    </xf>
    <xf numFmtId="164" fontId="7" fillId="0" borderId="5" xfId="0" applyNumberFormat="1" applyFont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left" vertical="top" wrapText="1"/>
    </xf>
    <xf numFmtId="164" fontId="5" fillId="0" borderId="6" xfId="0" applyNumberFormat="1" applyFont="1" applyBorder="1" applyAlignment="1">
      <alignment horizontal="left" vertical="top" wrapText="1"/>
    </xf>
    <xf numFmtId="164" fontId="5" fillId="0" borderId="2" xfId="0" applyNumberFormat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164" fontId="5" fillId="0" borderId="4" xfId="0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6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4"/>
  <sheetViews>
    <sheetView tabSelected="1" zoomScale="75" workbookViewId="0">
      <selection activeCell="B2" sqref="B1:K1048576"/>
    </sheetView>
  </sheetViews>
  <sheetFormatPr defaultRowHeight="13.2" x14ac:dyDescent="0.25"/>
  <cols>
    <col min="1" max="1" width="58.6640625" customWidth="1"/>
    <col min="2" max="2" width="14.109375" customWidth="1"/>
    <col min="3" max="3" width="13.33203125" customWidth="1"/>
    <col min="4" max="5" width="13.44140625" customWidth="1"/>
    <col min="6" max="6" width="13.33203125" customWidth="1"/>
    <col min="7" max="7" width="13.88671875" customWidth="1"/>
    <col min="8" max="8" width="13.33203125" customWidth="1"/>
    <col min="9" max="9" width="13.5546875" customWidth="1"/>
    <col min="10" max="10" width="14.109375" customWidth="1"/>
    <col min="11" max="11" width="13.88671875" customWidth="1"/>
    <col min="12" max="12" width="14" customWidth="1"/>
    <col min="13" max="13" width="13.5546875" customWidth="1"/>
    <col min="14" max="14" width="13.33203125" customWidth="1"/>
  </cols>
  <sheetData>
    <row r="1" spans="1:18" ht="20.25" customHeight="1" x14ac:dyDescent="0.35">
      <c r="A1" s="22" t="s">
        <v>43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5" t="s">
        <v>0</v>
      </c>
      <c r="B4" s="6" t="s">
        <v>29</v>
      </c>
      <c r="C4" s="6" t="s">
        <v>30</v>
      </c>
      <c r="D4" s="6" t="s">
        <v>31</v>
      </c>
      <c r="E4" s="6" t="s">
        <v>32</v>
      </c>
      <c r="F4" s="6" t="s">
        <v>33</v>
      </c>
      <c r="G4" s="6" t="s">
        <v>34</v>
      </c>
      <c r="H4" s="6" t="s">
        <v>35</v>
      </c>
      <c r="I4" s="6" t="s">
        <v>36</v>
      </c>
      <c r="J4" s="6" t="s">
        <v>37</v>
      </c>
      <c r="K4" s="6" t="s">
        <v>38</v>
      </c>
      <c r="L4" s="6" t="s">
        <v>39</v>
      </c>
      <c r="M4" s="6" t="s">
        <v>40</v>
      </c>
      <c r="N4" s="6" t="s">
        <v>41</v>
      </c>
    </row>
    <row r="5" spans="1:18" ht="23.25" customHeight="1" thickBot="1" x14ac:dyDescent="0.3">
      <c r="A5" s="7" t="s">
        <v>16</v>
      </c>
      <c r="B5" s="8">
        <v>-167739.82</v>
      </c>
      <c r="C5" s="8">
        <f t="shared" ref="C5:D6" si="0">B43</f>
        <v>-163965.57037999999</v>
      </c>
      <c r="D5" s="8">
        <f t="shared" si="0"/>
        <v>-152736.26608</v>
      </c>
      <c r="E5" s="8">
        <f t="shared" ref="E5:G6" si="1">D43</f>
        <v>-149109.59774999999</v>
      </c>
      <c r="F5" s="8">
        <f t="shared" si="1"/>
        <v>-138724.65910999998</v>
      </c>
      <c r="G5" s="8">
        <f t="shared" si="1"/>
        <v>-127337.10788999996</v>
      </c>
      <c r="H5" s="8">
        <f t="shared" ref="H5:H6" si="2">G43</f>
        <v>-131844.36879999997</v>
      </c>
      <c r="I5" s="8">
        <f t="shared" ref="I5:I6" si="3">H43</f>
        <v>-137959.02750999999</v>
      </c>
      <c r="J5" s="8">
        <f t="shared" ref="J5:J6" si="4">I43</f>
        <v>-161883.91598000002</v>
      </c>
      <c r="K5" s="8">
        <f t="shared" ref="K5:K6" si="5">J43</f>
        <v>-155210.77211000002</v>
      </c>
      <c r="L5" s="8">
        <f t="shared" ref="L5:L6" si="6">K43</f>
        <v>-159139.30172000005</v>
      </c>
      <c r="M5" s="8">
        <f t="shared" ref="M5:M6" si="7">L43</f>
        <v>-240412.06871000005</v>
      </c>
      <c r="N5" s="8">
        <f>B5</f>
        <v>-167739.82</v>
      </c>
    </row>
    <row r="6" spans="1:18" ht="21" customHeight="1" thickBot="1" x14ac:dyDescent="0.3">
      <c r="A6" s="7" t="s">
        <v>13</v>
      </c>
      <c r="B6" s="8">
        <v>-237065.83</v>
      </c>
      <c r="C6" s="8">
        <f t="shared" si="0"/>
        <v>-248448.65999999997</v>
      </c>
      <c r="D6" s="8">
        <f t="shared" si="0"/>
        <v>-251690.39999999997</v>
      </c>
      <c r="E6" s="8">
        <f t="shared" si="1"/>
        <v>-265576.58999999997</v>
      </c>
      <c r="F6" s="8">
        <f t="shared" si="1"/>
        <v>-264634.48</v>
      </c>
      <c r="G6" s="8">
        <f t="shared" si="1"/>
        <v>-263031.42</v>
      </c>
      <c r="H6" s="8">
        <f t="shared" si="2"/>
        <v>-279643.07999999996</v>
      </c>
      <c r="I6" s="8">
        <f t="shared" si="3"/>
        <v>-285108.33999999997</v>
      </c>
      <c r="J6" s="8">
        <f t="shared" si="4"/>
        <v>-282398.33999999997</v>
      </c>
      <c r="K6" s="8">
        <f t="shared" si="5"/>
        <v>-294514.75999999995</v>
      </c>
      <c r="L6" s="8">
        <f t="shared" si="6"/>
        <v>-299914.19999999995</v>
      </c>
      <c r="M6" s="8">
        <f t="shared" si="7"/>
        <v>-312068.08999999997</v>
      </c>
      <c r="N6" s="8">
        <f>B6</f>
        <v>-237065.83</v>
      </c>
    </row>
    <row r="7" spans="1:18" ht="20.25" customHeight="1" thickBot="1" x14ac:dyDescent="0.3">
      <c r="A7" s="9" t="s">
        <v>12</v>
      </c>
      <c r="B7" s="10">
        <f t="shared" ref="B7:M7" si="8">SUM(B8:B15)</f>
        <v>68955.17</v>
      </c>
      <c r="C7" s="10">
        <f t="shared" si="8"/>
        <v>70637.67</v>
      </c>
      <c r="D7" s="10">
        <f t="shared" si="8"/>
        <v>69076.209999999992</v>
      </c>
      <c r="E7" s="10">
        <f t="shared" si="8"/>
        <v>65313.04</v>
      </c>
      <c r="F7" s="10">
        <f t="shared" si="8"/>
        <v>66990.83</v>
      </c>
      <c r="G7" s="10">
        <f t="shared" si="8"/>
        <v>71069.53</v>
      </c>
      <c r="H7" s="10">
        <f t="shared" si="8"/>
        <v>86501.889999999985</v>
      </c>
      <c r="I7" s="10">
        <f t="shared" si="8"/>
        <v>79420.7</v>
      </c>
      <c r="J7" s="10">
        <f t="shared" si="8"/>
        <v>87553.989999999991</v>
      </c>
      <c r="K7" s="10">
        <f t="shared" si="8"/>
        <v>77489.540000000008</v>
      </c>
      <c r="L7" s="10">
        <f t="shared" si="8"/>
        <v>80253.919999999998</v>
      </c>
      <c r="M7" s="10">
        <f t="shared" si="8"/>
        <v>85386.53</v>
      </c>
      <c r="N7" s="10">
        <f>SUM(B7:M7)</f>
        <v>908649.02</v>
      </c>
    </row>
    <row r="8" spans="1:18" ht="24.75" customHeight="1" thickBot="1" x14ac:dyDescent="0.3">
      <c r="A8" s="4" t="s">
        <v>44</v>
      </c>
      <c r="B8" s="11">
        <f t="shared" ref="B8:G8" si="9">52944.01+1614.7</f>
        <v>54558.71</v>
      </c>
      <c r="C8" s="11">
        <f t="shared" si="9"/>
        <v>54558.71</v>
      </c>
      <c r="D8" s="11">
        <f t="shared" si="9"/>
        <v>54558.71</v>
      </c>
      <c r="E8" s="11">
        <f t="shared" si="9"/>
        <v>54558.71</v>
      </c>
      <c r="F8" s="11">
        <f t="shared" si="9"/>
        <v>54558.71</v>
      </c>
      <c r="G8" s="11">
        <f t="shared" si="9"/>
        <v>54558.71</v>
      </c>
      <c r="H8" s="11">
        <f>63044.7+1614.7</f>
        <v>64659.399999999994</v>
      </c>
      <c r="I8" s="11">
        <f>63044.7+1614.7</f>
        <v>64659.399999999994</v>
      </c>
      <c r="J8" s="11">
        <f>63029.82+1614.3</f>
        <v>64644.12</v>
      </c>
      <c r="K8" s="11">
        <f>63029.82+1614.3</f>
        <v>64644.12</v>
      </c>
      <c r="L8" s="11">
        <f>63029.82+1614.3</f>
        <v>64644.12</v>
      </c>
      <c r="M8" s="11">
        <f>63029.82+1614.3</f>
        <v>64644.12</v>
      </c>
      <c r="N8" s="11">
        <f t="shared" ref="N8:N15" si="10">SUM(B8:M8)</f>
        <v>715247.54</v>
      </c>
    </row>
    <row r="9" spans="1:18" ht="24.75" customHeight="1" thickBot="1" x14ac:dyDescent="0.3">
      <c r="A9" s="4" t="s">
        <v>17</v>
      </c>
      <c r="B9" s="11">
        <f t="shared" ref="B9:G9" si="11">1404.24+1960.31</f>
        <v>3364.55</v>
      </c>
      <c r="C9" s="11">
        <f t="shared" si="11"/>
        <v>3364.55</v>
      </c>
      <c r="D9" s="11">
        <f t="shared" si="11"/>
        <v>3364.55</v>
      </c>
      <c r="E9" s="11">
        <f t="shared" si="11"/>
        <v>3364.55</v>
      </c>
      <c r="F9" s="11">
        <f t="shared" si="11"/>
        <v>3364.55</v>
      </c>
      <c r="G9" s="11">
        <f t="shared" si="11"/>
        <v>3364.55</v>
      </c>
      <c r="H9" s="11">
        <f>1672.14+2334.3</f>
        <v>4006.4400000000005</v>
      </c>
      <c r="I9" s="11">
        <f>1672.14+2334.3</f>
        <v>4006.4400000000005</v>
      </c>
      <c r="J9" s="11">
        <f>1672.14+2334.3</f>
        <v>4006.4400000000005</v>
      </c>
      <c r="K9" s="11">
        <f>1672.14+2334.3</f>
        <v>4006.4400000000005</v>
      </c>
      <c r="L9" s="11">
        <f>1672.14+2334.3</f>
        <v>4006.4400000000005</v>
      </c>
      <c r="M9" s="11">
        <f>1672.14+2334.3</f>
        <v>4006.4400000000005</v>
      </c>
      <c r="N9" s="11">
        <f t="shared" si="10"/>
        <v>44225.94000000001</v>
      </c>
    </row>
    <row r="10" spans="1:18" ht="24.75" customHeight="1" thickBot="1" x14ac:dyDescent="0.3">
      <c r="A10" s="4" t="s">
        <v>18</v>
      </c>
      <c r="B10" s="11">
        <f>1910+50.34</f>
        <v>1960.34</v>
      </c>
      <c r="C10" s="11">
        <f>75.16+1.8</f>
        <v>76.959999999999994</v>
      </c>
      <c r="D10" s="11">
        <f>817.76+17.98</f>
        <v>835.74</v>
      </c>
      <c r="E10" s="11">
        <f>686.08+21.58</f>
        <v>707.66000000000008</v>
      </c>
      <c r="F10" s="11">
        <f>2324.32+61.13</f>
        <v>2385.4500000000003</v>
      </c>
      <c r="G10" s="11">
        <f>4214.68+104.28</f>
        <v>4318.96</v>
      </c>
      <c r="H10" s="11">
        <f>5947.62+157.33</f>
        <v>6104.95</v>
      </c>
      <c r="I10" s="11">
        <f>323.53+8.99</f>
        <v>332.52</v>
      </c>
      <c r="J10" s="11">
        <v>0</v>
      </c>
      <c r="K10" s="11">
        <f>3824.76+101.59</f>
        <v>3926.3500000000004</v>
      </c>
      <c r="L10" s="11">
        <v>0</v>
      </c>
      <c r="M10" s="11">
        <v>0</v>
      </c>
      <c r="N10" s="11">
        <f t="shared" si="10"/>
        <v>20648.93</v>
      </c>
    </row>
    <row r="11" spans="1:18" ht="24.75" customHeight="1" thickBot="1" x14ac:dyDescent="0.3">
      <c r="A11" s="4" t="s">
        <v>19</v>
      </c>
      <c r="B11" s="11">
        <v>0</v>
      </c>
      <c r="C11" s="11">
        <f>2119.79+55.74</f>
        <v>2175.5299999999997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f>917.83+24.27</f>
        <v>942.1</v>
      </c>
      <c r="J11" s="11">
        <f>4918.79+130.36</f>
        <v>5049.1499999999996</v>
      </c>
      <c r="K11" s="11">
        <v>-3369.27</v>
      </c>
      <c r="L11" s="11">
        <f>3532.15+93.5</f>
        <v>3625.65</v>
      </c>
      <c r="M11" s="11">
        <f>4724.7+124.96</f>
        <v>4849.66</v>
      </c>
      <c r="N11" s="11">
        <f t="shared" si="10"/>
        <v>13272.819999999998</v>
      </c>
    </row>
    <row r="12" spans="1:18" ht="24.75" customHeight="1" thickBot="1" x14ac:dyDescent="0.3">
      <c r="A12" s="4" t="s">
        <v>20</v>
      </c>
      <c r="B12" s="11">
        <f>2327.42+62.03</f>
        <v>2389.4500000000003</v>
      </c>
      <c r="C12" s="11">
        <f>3682.71+97.09</f>
        <v>3779.8</v>
      </c>
      <c r="D12" s="11">
        <f>3541.59+93.5</f>
        <v>3635.09</v>
      </c>
      <c r="E12" s="11">
        <v>0</v>
      </c>
      <c r="F12" s="11">
        <v>0</v>
      </c>
      <c r="G12" s="11">
        <f>2089.45+55.74</f>
        <v>2145.1899999999996</v>
      </c>
      <c r="H12" s="11">
        <f>4913.03+130.36</f>
        <v>5043.3899999999994</v>
      </c>
      <c r="I12" s="11">
        <f>2720.61+71.92</f>
        <v>2792.53</v>
      </c>
      <c r="J12" s="11">
        <f>6981.32+185.19</f>
        <v>7166.5099999999993</v>
      </c>
      <c r="K12" s="11">
        <f>1552.78+41.35</f>
        <v>1594.1299999999999</v>
      </c>
      <c r="L12" s="11">
        <f>1256.68+33.26</f>
        <v>1289.94</v>
      </c>
      <c r="M12" s="11">
        <f>5064.59+133.95</f>
        <v>5198.54</v>
      </c>
      <c r="N12" s="11">
        <f t="shared" si="10"/>
        <v>35034.569999999992</v>
      </c>
    </row>
    <row r="13" spans="1:18" ht="24.75" customHeight="1" thickBot="1" x14ac:dyDescent="0.3">
      <c r="A13" s="4" t="s">
        <v>28</v>
      </c>
      <c r="B13" s="11">
        <f t="shared" ref="B13:G13" si="12">316.11+8.09</f>
        <v>324.2</v>
      </c>
      <c r="C13" s="11">
        <f t="shared" si="12"/>
        <v>324.2</v>
      </c>
      <c r="D13" s="11">
        <f t="shared" si="12"/>
        <v>324.2</v>
      </c>
      <c r="E13" s="11">
        <f t="shared" si="12"/>
        <v>324.2</v>
      </c>
      <c r="F13" s="11">
        <f t="shared" si="12"/>
        <v>324.2</v>
      </c>
      <c r="G13" s="11">
        <f t="shared" si="12"/>
        <v>324.2</v>
      </c>
      <c r="H13" s="11">
        <f>321.7+8.09</f>
        <v>329.78999999999996</v>
      </c>
      <c r="I13" s="11">
        <f>321.7+8.09</f>
        <v>329.78999999999996</v>
      </c>
      <c r="J13" s="11">
        <f>321.76+8.09</f>
        <v>329.84999999999997</v>
      </c>
      <c r="K13" s="11">
        <f>321.76+8.09</f>
        <v>329.84999999999997</v>
      </c>
      <c r="L13" s="11">
        <f>321.76+8.09</f>
        <v>329.84999999999997</v>
      </c>
      <c r="M13" s="11">
        <f>321.76+8.09</f>
        <v>329.84999999999997</v>
      </c>
      <c r="N13" s="11">
        <f t="shared" si="10"/>
        <v>3924.1799999999994</v>
      </c>
    </row>
    <row r="14" spans="1:18" ht="24.75" customHeight="1" thickBot="1" x14ac:dyDescent="0.3">
      <c r="A14" s="4" t="s">
        <v>27</v>
      </c>
      <c r="B14" s="11">
        <f t="shared" ref="B14:G14" si="13">5617.92+70</f>
        <v>5687.92</v>
      </c>
      <c r="C14" s="11">
        <f t="shared" si="13"/>
        <v>5687.92</v>
      </c>
      <c r="D14" s="11">
        <f t="shared" si="13"/>
        <v>5687.92</v>
      </c>
      <c r="E14" s="11">
        <f t="shared" si="13"/>
        <v>5687.92</v>
      </c>
      <c r="F14" s="11">
        <f t="shared" si="13"/>
        <v>5687.92</v>
      </c>
      <c r="G14" s="11">
        <f t="shared" si="13"/>
        <v>5687.92</v>
      </c>
      <c r="H14" s="11">
        <f>5617.92+70</f>
        <v>5687.92</v>
      </c>
      <c r="I14" s="11">
        <f>5617.92+70</f>
        <v>5687.92</v>
      </c>
      <c r="J14" s="11">
        <f>5617.92+70</f>
        <v>5687.92</v>
      </c>
      <c r="K14" s="11">
        <f>5617.92+70</f>
        <v>5687.92</v>
      </c>
      <c r="L14" s="11">
        <f>5617.92+70</f>
        <v>5687.92</v>
      </c>
      <c r="M14" s="11">
        <f>5617.92+70</f>
        <v>5687.92</v>
      </c>
      <c r="N14" s="11">
        <f t="shared" si="10"/>
        <v>68255.039999999994</v>
      </c>
    </row>
    <row r="15" spans="1:18" ht="24.75" customHeight="1" thickBot="1" x14ac:dyDescent="0.3">
      <c r="A15" s="4" t="s">
        <v>15</v>
      </c>
      <c r="B15" s="11">
        <v>670</v>
      </c>
      <c r="C15" s="11">
        <v>670</v>
      </c>
      <c r="D15" s="11">
        <v>670</v>
      </c>
      <c r="E15" s="11">
        <v>670</v>
      </c>
      <c r="F15" s="11">
        <v>670</v>
      </c>
      <c r="G15" s="11">
        <v>670</v>
      </c>
      <c r="H15" s="11">
        <v>670</v>
      </c>
      <c r="I15" s="11">
        <v>670</v>
      </c>
      <c r="J15" s="11">
        <v>670</v>
      </c>
      <c r="K15" s="11">
        <v>670</v>
      </c>
      <c r="L15" s="11">
        <v>670</v>
      </c>
      <c r="M15" s="11">
        <v>670</v>
      </c>
      <c r="N15" s="11">
        <f t="shared" si="10"/>
        <v>8040</v>
      </c>
    </row>
    <row r="16" spans="1:18" ht="20.25" customHeight="1" thickBot="1" x14ac:dyDescent="0.3">
      <c r="A16" s="12" t="s">
        <v>8</v>
      </c>
      <c r="B16" s="13">
        <f t="shared" ref="B16:D16" si="14">SUM(B17:B24)</f>
        <v>57572.34</v>
      </c>
      <c r="C16" s="13">
        <f t="shared" si="14"/>
        <v>67395.929999999993</v>
      </c>
      <c r="D16" s="13">
        <f t="shared" si="14"/>
        <v>55190.020000000004</v>
      </c>
      <c r="E16" s="13">
        <f>SUM(E17:E24)</f>
        <v>66255.149999999994</v>
      </c>
      <c r="F16" s="13">
        <f>SUM(F17:F24)</f>
        <v>68593.890000000014</v>
      </c>
      <c r="G16" s="13">
        <f>SUM(G17:G24)</f>
        <v>54457.869999999995</v>
      </c>
      <c r="H16" s="13">
        <f t="shared" ref="H16:M16" si="15">SUM(H17:H24)</f>
        <v>81036.62999999999</v>
      </c>
      <c r="I16" s="13">
        <f t="shared" si="15"/>
        <v>82130.699999999983</v>
      </c>
      <c r="J16" s="13">
        <f t="shared" si="15"/>
        <v>75437.570000000007</v>
      </c>
      <c r="K16" s="13">
        <f t="shared" si="15"/>
        <v>72090.099999999991</v>
      </c>
      <c r="L16" s="13">
        <f t="shared" si="15"/>
        <v>68100.03</v>
      </c>
      <c r="M16" s="13">
        <f t="shared" si="15"/>
        <v>67435.839999999997</v>
      </c>
      <c r="N16" s="13">
        <f>SUM(B16:M16)</f>
        <v>815696.06999999983</v>
      </c>
    </row>
    <row r="17" spans="1:15" ht="24" customHeight="1" thickBot="1" x14ac:dyDescent="0.3">
      <c r="A17" s="4" t="s">
        <v>44</v>
      </c>
      <c r="B17" s="11">
        <f>43071.21+1368.85</f>
        <v>44440.06</v>
      </c>
      <c r="C17" s="11">
        <f>52453.25+1690.09</f>
        <v>54143.34</v>
      </c>
      <c r="D17" s="11">
        <f>42412.62+41.55+1295.15</f>
        <v>43749.320000000007</v>
      </c>
      <c r="E17" s="11">
        <f>53398.56+1650.34+270</f>
        <v>55318.899999999994</v>
      </c>
      <c r="F17" s="11">
        <f>55487.98+1788.8+49.18</f>
        <v>57325.960000000006</v>
      </c>
      <c r="G17" s="11">
        <f>43823.47+1423.6</f>
        <v>45247.07</v>
      </c>
      <c r="H17" s="11">
        <f>59604.2+120.67+414.31+2321.07+311.48</f>
        <v>62771.729999999996</v>
      </c>
      <c r="I17" s="11">
        <f>61320.28+1546.52</f>
        <v>62866.799999999996</v>
      </c>
      <c r="J17" s="11">
        <f>61066.32+1373.13</f>
        <v>62439.45</v>
      </c>
      <c r="K17" s="11">
        <f>54486.44+1636.85</f>
        <v>56123.29</v>
      </c>
      <c r="L17" s="11">
        <f>54244.64+1427.01</f>
        <v>55671.65</v>
      </c>
      <c r="M17" s="11">
        <f>56837+1575.5</f>
        <v>58412.5</v>
      </c>
      <c r="N17" s="11">
        <f t="shared" ref="N17:N23" si="16">SUM(B17:M17)</f>
        <v>658510.07000000007</v>
      </c>
    </row>
    <row r="18" spans="1:15" ht="26.25" customHeight="1" thickBot="1" x14ac:dyDescent="0.3">
      <c r="A18" s="4" t="s">
        <v>17</v>
      </c>
      <c r="B18" s="11">
        <f>1404.24+1404.24</f>
        <v>2808.48</v>
      </c>
      <c r="C18" s="11">
        <v>1404.24</v>
      </c>
      <c r="D18" s="11">
        <v>1404.24</v>
      </c>
      <c r="E18" s="11">
        <v>0</v>
      </c>
      <c r="F18" s="11">
        <f>1404.24</f>
        <v>1404.24</v>
      </c>
      <c r="G18" s="11">
        <v>1404.24</v>
      </c>
      <c r="H18" s="11">
        <f>1404.24+1404.24</f>
        <v>2808.48</v>
      </c>
      <c r="I18" s="11">
        <f>1404.24+1404.24</f>
        <v>2808.48</v>
      </c>
      <c r="J18" s="11">
        <f>1672.14+1672.14</f>
        <v>3344.28</v>
      </c>
      <c r="K18" s="11">
        <v>0</v>
      </c>
      <c r="L18" s="11">
        <v>1672.14</v>
      </c>
      <c r="M18" s="11">
        <v>0</v>
      </c>
      <c r="N18" s="11">
        <f t="shared" si="16"/>
        <v>19058.82</v>
      </c>
    </row>
    <row r="19" spans="1:15" ht="26.25" customHeight="1" thickBot="1" x14ac:dyDescent="0.3">
      <c r="A19" s="4" t="s">
        <v>18</v>
      </c>
      <c r="B19" s="11">
        <f>2234.66+53.04+30.57</f>
        <v>2318.27</v>
      </c>
      <c r="C19" s="11">
        <f>1919.01+72.82</f>
        <v>1991.83</v>
      </c>
      <c r="D19" s="11">
        <f>145.24+50.34</f>
        <v>195.58</v>
      </c>
      <c r="E19" s="11">
        <v>808.32</v>
      </c>
      <c r="F19" s="11">
        <f>831.63+17.98</f>
        <v>849.61</v>
      </c>
      <c r="G19" s="11">
        <v>1976.73</v>
      </c>
      <c r="H19" s="11">
        <f>3967.35+17.98+21.58</f>
        <v>4006.91</v>
      </c>
      <c r="I19" s="11">
        <f>5124.84+104.28+61.13</f>
        <v>5290.25</v>
      </c>
      <c r="J19" s="11">
        <f>376.75+157.33+8.99</f>
        <v>543.07000000000005</v>
      </c>
      <c r="K19" s="11">
        <v>186.49</v>
      </c>
      <c r="L19" s="11">
        <v>3116.77</v>
      </c>
      <c r="M19" s="11">
        <v>199.93</v>
      </c>
      <c r="N19" s="11">
        <f t="shared" si="16"/>
        <v>21483.760000000002</v>
      </c>
    </row>
    <row r="20" spans="1:15" ht="26.25" customHeight="1" thickBot="1" x14ac:dyDescent="0.3">
      <c r="A20" s="4" t="s">
        <v>19</v>
      </c>
      <c r="B20" s="11">
        <v>3.25</v>
      </c>
      <c r="C20" s="11">
        <v>21.39</v>
      </c>
      <c r="D20" s="11">
        <v>1617.07</v>
      </c>
      <c r="E20" s="11">
        <v>214.29</v>
      </c>
      <c r="F20" s="11">
        <v>128.31</v>
      </c>
      <c r="G20" s="11">
        <v>2.13</v>
      </c>
      <c r="H20" s="11">
        <v>116.7</v>
      </c>
      <c r="I20" s="11">
        <v>73.92</v>
      </c>
      <c r="J20" s="11">
        <f>838.59+24.27</f>
        <v>862.86</v>
      </c>
      <c r="K20" s="11">
        <v>3663.13</v>
      </c>
      <c r="L20" s="11">
        <f>132.04+130.36</f>
        <v>262.39999999999998</v>
      </c>
      <c r="M20" s="11">
        <v>894.82</v>
      </c>
      <c r="N20" s="11">
        <f t="shared" si="16"/>
        <v>7860.2699999999995</v>
      </c>
    </row>
    <row r="21" spans="1:15" ht="26.25" customHeight="1" thickBot="1" x14ac:dyDescent="0.3">
      <c r="A21" s="4" t="s">
        <v>20</v>
      </c>
      <c r="B21" s="11">
        <f>1917.04+106.98</f>
        <v>2024.02</v>
      </c>
      <c r="C21" s="11">
        <f>2277.86+62.03</f>
        <v>2339.8900000000003</v>
      </c>
      <c r="D21" s="11">
        <f>2890.55+62.03</f>
        <v>2952.5800000000004</v>
      </c>
      <c r="E21" s="11">
        <v>3522.7</v>
      </c>
      <c r="F21" s="11">
        <f>388.91+93.5</f>
        <v>482.41</v>
      </c>
      <c r="G21" s="11">
        <v>105</v>
      </c>
      <c r="H21" s="11">
        <f>2408.09+93.5</f>
        <v>2501.59</v>
      </c>
      <c r="I21" s="11">
        <f>4255.52+55.74</f>
        <v>4311.26</v>
      </c>
      <c r="J21" s="11">
        <f>2345.7+130.36+71.92</f>
        <v>2547.98</v>
      </c>
      <c r="K21" s="11">
        <v>5729.17</v>
      </c>
      <c r="L21" s="11">
        <f>1485.41+185.19</f>
        <v>1670.6000000000001</v>
      </c>
      <c r="M21" s="11">
        <v>1272.5</v>
      </c>
      <c r="N21" s="11">
        <f t="shared" si="16"/>
        <v>29459.699999999997</v>
      </c>
    </row>
    <row r="22" spans="1:15" ht="26.25" customHeight="1" thickBot="1" x14ac:dyDescent="0.3">
      <c r="A22" s="4" t="s">
        <v>28</v>
      </c>
      <c r="B22" s="11">
        <f>256.83+8.09+8.09</f>
        <v>273.00999999999993</v>
      </c>
      <c r="C22" s="11">
        <f>316.31+8.09</f>
        <v>324.39999999999998</v>
      </c>
      <c r="D22" s="11">
        <f>253.16+8.09</f>
        <v>261.25</v>
      </c>
      <c r="E22" s="11">
        <v>318.07</v>
      </c>
      <c r="F22" s="11">
        <f>308.84+8.09</f>
        <v>316.92999999999995</v>
      </c>
      <c r="G22" s="11">
        <v>280.57</v>
      </c>
      <c r="H22" s="11">
        <f>345.88+8.09+8.09</f>
        <v>362.05999999999995</v>
      </c>
      <c r="I22" s="11">
        <f>300.16+8.09+8.09</f>
        <v>316.33999999999997</v>
      </c>
      <c r="J22" s="11">
        <f>256.79+8.09+8.09</f>
        <v>272.96999999999997</v>
      </c>
      <c r="K22" s="11">
        <v>279.04000000000002</v>
      </c>
      <c r="L22" s="11">
        <f>277.67+8.09</f>
        <v>285.76</v>
      </c>
      <c r="M22" s="11">
        <v>291.14</v>
      </c>
      <c r="N22" s="11">
        <f t="shared" si="16"/>
        <v>3581.5399999999995</v>
      </c>
    </row>
    <row r="23" spans="1:15" ht="26.25" customHeight="1" thickBot="1" x14ac:dyDescent="0.3">
      <c r="A23" s="4" t="s">
        <v>27</v>
      </c>
      <c r="B23" s="11">
        <f>4965.25+70+70</f>
        <v>5105.25</v>
      </c>
      <c r="C23" s="11">
        <f>6500.84+70</f>
        <v>6570.84</v>
      </c>
      <c r="D23" s="11">
        <f>4339.98+70</f>
        <v>4409.9799999999996</v>
      </c>
      <c r="E23" s="11">
        <v>5472.87</v>
      </c>
      <c r="F23" s="11">
        <f>7416.43+70</f>
        <v>7486.43</v>
      </c>
      <c r="G23" s="11">
        <v>4842.13</v>
      </c>
      <c r="H23" s="11">
        <f>7729.16+70+70</f>
        <v>7869.16</v>
      </c>
      <c r="I23" s="11">
        <f>5723.65+70+70</f>
        <v>5863.65</v>
      </c>
      <c r="J23" s="11">
        <f>4686.96+70+70</f>
        <v>4826.96</v>
      </c>
      <c r="K23" s="11">
        <v>5018.9799999999996</v>
      </c>
      <c r="L23" s="11">
        <f>4750.71+70</f>
        <v>4820.71</v>
      </c>
      <c r="M23" s="11">
        <v>5764.95</v>
      </c>
      <c r="N23" s="11">
        <f t="shared" si="16"/>
        <v>68051.91</v>
      </c>
    </row>
    <row r="24" spans="1:15" ht="26.25" customHeight="1" thickBot="1" x14ac:dyDescent="0.3">
      <c r="A24" s="4" t="s">
        <v>15</v>
      </c>
      <c r="B24" s="14">
        <v>600</v>
      </c>
      <c r="C24" s="14">
        <v>600</v>
      </c>
      <c r="D24" s="14">
        <v>600</v>
      </c>
      <c r="E24" s="14">
        <v>600</v>
      </c>
      <c r="F24" s="14">
        <v>600</v>
      </c>
      <c r="G24" s="14">
        <v>600</v>
      </c>
      <c r="H24" s="14">
        <v>600</v>
      </c>
      <c r="I24" s="14">
        <v>600</v>
      </c>
      <c r="J24" s="14">
        <v>600</v>
      </c>
      <c r="K24" s="11">
        <v>1090</v>
      </c>
      <c r="L24" s="11">
        <v>600</v>
      </c>
      <c r="M24" s="11">
        <v>600</v>
      </c>
      <c r="N24" s="11">
        <f>SUM(B24:M24)</f>
        <v>7690</v>
      </c>
      <c r="O24" s="3"/>
    </row>
    <row r="25" spans="1:15" ht="21.75" customHeight="1" thickBot="1" x14ac:dyDescent="0.3">
      <c r="A25" s="15" t="s">
        <v>25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7"/>
    </row>
    <row r="26" spans="1:15" ht="19.5" customHeight="1" thickBot="1" x14ac:dyDescent="0.3">
      <c r="A26" s="4" t="s">
        <v>1</v>
      </c>
      <c r="B26" s="11">
        <f t="shared" ref="B26:C26" si="17">3604.9*0.55</f>
        <v>1982.6950000000002</v>
      </c>
      <c r="C26" s="11">
        <f t="shared" si="17"/>
        <v>1982.6950000000002</v>
      </c>
      <c r="D26" s="11">
        <f>3604.9*0.55</f>
        <v>1982.6950000000002</v>
      </c>
      <c r="E26" s="11">
        <f t="shared" ref="E26:F26" si="18">3604.9*0.55</f>
        <v>1982.6950000000002</v>
      </c>
      <c r="F26" s="11">
        <f t="shared" si="18"/>
        <v>1982.6950000000002</v>
      </c>
      <c r="G26" s="11">
        <f>3604.9*0.55</f>
        <v>1982.6950000000002</v>
      </c>
      <c r="H26" s="11">
        <f t="shared" ref="H26:M26" si="19">3604.9*0.55</f>
        <v>1982.6950000000002</v>
      </c>
      <c r="I26" s="11">
        <f t="shared" si="19"/>
        <v>1982.6950000000002</v>
      </c>
      <c r="J26" s="11">
        <f t="shared" si="19"/>
        <v>1982.6950000000002</v>
      </c>
      <c r="K26" s="11">
        <f t="shared" si="19"/>
        <v>1982.6950000000002</v>
      </c>
      <c r="L26" s="11">
        <f t="shared" si="19"/>
        <v>1982.6950000000002</v>
      </c>
      <c r="M26" s="11">
        <f t="shared" si="19"/>
        <v>1982.6950000000002</v>
      </c>
      <c r="N26" s="11">
        <f>SUM(B26:M26)</f>
        <v>23792.34</v>
      </c>
    </row>
    <row r="27" spans="1:15" ht="22.5" customHeight="1" thickBot="1" x14ac:dyDescent="0.3">
      <c r="A27" s="4" t="s">
        <v>2</v>
      </c>
      <c r="B27" s="11">
        <f t="shared" ref="B27:F27" si="20">3604.9*0.17</f>
        <v>612.83300000000008</v>
      </c>
      <c r="C27" s="11">
        <f t="shared" si="20"/>
        <v>612.83300000000008</v>
      </c>
      <c r="D27" s="11">
        <f t="shared" si="20"/>
        <v>612.83300000000008</v>
      </c>
      <c r="E27" s="11">
        <f t="shared" si="20"/>
        <v>612.83300000000008</v>
      </c>
      <c r="F27" s="11">
        <f t="shared" si="20"/>
        <v>612.83300000000008</v>
      </c>
      <c r="G27" s="11">
        <f>3604.9*0.17</f>
        <v>612.83300000000008</v>
      </c>
      <c r="H27" s="11">
        <f t="shared" ref="H27:M27" si="21">3604.9*0.17</f>
        <v>612.83300000000008</v>
      </c>
      <c r="I27" s="11">
        <f t="shared" si="21"/>
        <v>612.83300000000008</v>
      </c>
      <c r="J27" s="11">
        <f t="shared" si="21"/>
        <v>612.83300000000008</v>
      </c>
      <c r="K27" s="11">
        <f t="shared" si="21"/>
        <v>612.83300000000008</v>
      </c>
      <c r="L27" s="11">
        <f t="shared" si="21"/>
        <v>612.83300000000008</v>
      </c>
      <c r="M27" s="11">
        <f t="shared" si="21"/>
        <v>612.83300000000008</v>
      </c>
      <c r="N27" s="11">
        <f>SUM(B27:M27)</f>
        <v>7353.9960000000028</v>
      </c>
    </row>
    <row r="28" spans="1:15" ht="21" customHeight="1" thickBot="1" x14ac:dyDescent="0.3">
      <c r="A28" s="4" t="s">
        <v>3</v>
      </c>
      <c r="B28" s="11">
        <f>64730.16*2.3%</f>
        <v>1488.79368</v>
      </c>
      <c r="C28" s="11">
        <f>66370.4*2.3%</f>
        <v>1526.5191999999997</v>
      </c>
      <c r="D28" s="11">
        <f>64852.09*2.3%</f>
        <v>1491.59807</v>
      </c>
      <c r="E28" s="11">
        <f>61178.82*2.3%</f>
        <v>1407.11286</v>
      </c>
      <c r="F28" s="11">
        <f>62817.06*2.3%</f>
        <v>1444.7923799999999</v>
      </c>
      <c r="G28" s="11">
        <f>66796.87*2.3%</f>
        <v>1536.3280099999999</v>
      </c>
      <c r="H28" s="11">
        <f>81459.67*2.3%</f>
        <v>1873.57241</v>
      </c>
      <c r="I28" s="11">
        <f>74560.99*2.3%</f>
        <v>1714.9027700000001</v>
      </c>
      <c r="J28" s="11">
        <f>82483.91*2.3%</f>
        <v>1897.1299300000001</v>
      </c>
      <c r="K28" s="11">
        <f>72592.07*2.3%</f>
        <v>1669.6176100000002</v>
      </c>
      <c r="L28" s="11">
        <f>75372.63*2.3%</f>
        <v>1733.5704900000001</v>
      </c>
      <c r="M28" s="11">
        <f>80373.09*2.3%</f>
        <v>1848.58107</v>
      </c>
      <c r="N28" s="11">
        <f t="shared" ref="N28:N40" si="22">SUM(B28:M28)</f>
        <v>19632.518479999999</v>
      </c>
    </row>
    <row r="29" spans="1:15" ht="23.25" customHeight="1" thickBot="1" x14ac:dyDescent="0.3">
      <c r="A29" s="4" t="s">
        <v>4</v>
      </c>
      <c r="B29" s="11">
        <f>53817.09*3%</f>
        <v>1614.5126999999998</v>
      </c>
      <c r="C29" s="11">
        <f>65178.75*3%</f>
        <v>1955.3625</v>
      </c>
      <c r="D29" s="11">
        <f>52995.32*3%</f>
        <v>1589.8596</v>
      </c>
      <c r="E29" s="11">
        <f>65655.15*3%</f>
        <v>1969.6544999999996</v>
      </c>
      <c r="F29" s="11">
        <f>66400.08*3%</f>
        <v>1992.0024000000001</v>
      </c>
      <c r="G29" s="11">
        <f>52453.63*3%</f>
        <v>1573.6088999999999</v>
      </c>
      <c r="H29" s="11">
        <f>77338.91*3%</f>
        <v>2320.1673000000001</v>
      </c>
      <c r="I29" s="11">
        <f>78344.89*3%</f>
        <v>2350.3467000000001</v>
      </c>
      <c r="J29" s="11">
        <f>70944.24*3%</f>
        <v>2128.3272000000002</v>
      </c>
      <c r="K29" s="11">
        <f>71000.1*3%</f>
        <v>2130.0030000000002</v>
      </c>
      <c r="L29" s="11">
        <f>65434.25*3%</f>
        <v>1963.0274999999999</v>
      </c>
      <c r="M29" s="11">
        <f>66835.84*3%</f>
        <v>2005.0751999999998</v>
      </c>
      <c r="N29" s="11">
        <f t="shared" si="22"/>
        <v>23591.947499999998</v>
      </c>
    </row>
    <row r="30" spans="1:15" ht="23.25" customHeight="1" thickBot="1" x14ac:dyDescent="0.3">
      <c r="A30" s="4" t="s">
        <v>9</v>
      </c>
      <c r="B30" s="11">
        <v>26676.26</v>
      </c>
      <c r="C30" s="11">
        <v>26676.26</v>
      </c>
      <c r="D30" s="11">
        <v>26676.26</v>
      </c>
      <c r="E30" s="11">
        <v>26676.26</v>
      </c>
      <c r="F30" s="11">
        <v>26676.26</v>
      </c>
      <c r="G30" s="11">
        <v>26676.26</v>
      </c>
      <c r="H30" s="21">
        <f>3604.9*8.5</f>
        <v>30641.65</v>
      </c>
      <c r="I30" s="21">
        <f t="shared" ref="I30:M30" si="23">3604.9*8.5</f>
        <v>30641.65</v>
      </c>
      <c r="J30" s="21">
        <f t="shared" si="23"/>
        <v>30641.65</v>
      </c>
      <c r="K30" s="21">
        <f t="shared" si="23"/>
        <v>30641.65</v>
      </c>
      <c r="L30" s="21">
        <f t="shared" si="23"/>
        <v>30641.65</v>
      </c>
      <c r="M30" s="21">
        <f t="shared" si="23"/>
        <v>30641.65</v>
      </c>
      <c r="N30" s="11">
        <f t="shared" si="22"/>
        <v>343907.46</v>
      </c>
    </row>
    <row r="31" spans="1:15" ht="26.25" customHeight="1" thickBot="1" x14ac:dyDescent="0.3">
      <c r="A31" s="4" t="s">
        <v>21</v>
      </c>
      <c r="B31" s="11">
        <f>70.33+9.57</f>
        <v>79.900000000000006</v>
      </c>
      <c r="C31" s="11">
        <f>765.7+104.04</f>
        <v>869.74</v>
      </c>
      <c r="D31" s="11">
        <f>642.36+87.27</f>
        <v>729.63</v>
      </c>
      <c r="E31" s="11">
        <f>2176.19+295.9</f>
        <v>2472.09</v>
      </c>
      <c r="F31" s="11">
        <f>3677.97+500</f>
        <v>4177.9699999999993</v>
      </c>
      <c r="G31" s="11">
        <f>5568.67+756.95</f>
        <v>6325.62</v>
      </c>
      <c r="H31" s="11">
        <f>345.15+0</f>
        <v>345.15</v>
      </c>
      <c r="I31" s="11">
        <v>0</v>
      </c>
      <c r="J31" s="11">
        <f>3569.88+497.98</f>
        <v>4067.86</v>
      </c>
      <c r="K31" s="11">
        <f>0+0.19</f>
        <v>0.19</v>
      </c>
      <c r="L31" s="11">
        <v>0</v>
      </c>
      <c r="M31" s="11">
        <v>0</v>
      </c>
      <c r="N31" s="11">
        <f t="shared" si="22"/>
        <v>19068.149999999998</v>
      </c>
    </row>
    <row r="32" spans="1:15" ht="26.25" customHeight="1" thickBot="1" x14ac:dyDescent="0.3">
      <c r="A32" s="4" t="s">
        <v>22</v>
      </c>
      <c r="B32" s="11">
        <v>2254.73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976.32</v>
      </c>
      <c r="I32" s="11">
        <v>5232.43</v>
      </c>
      <c r="J32" s="11">
        <v>5083.43</v>
      </c>
      <c r="K32" s="11">
        <v>3757.44</v>
      </c>
      <c r="L32" s="11">
        <v>5026.03</v>
      </c>
      <c r="M32" s="11">
        <v>1436.72</v>
      </c>
      <c r="N32" s="11">
        <f t="shared" si="22"/>
        <v>23767.1</v>
      </c>
    </row>
    <row r="33" spans="1:14" ht="26.25" customHeight="1" thickBot="1" x14ac:dyDescent="0.3">
      <c r="A33" s="4" t="s">
        <v>23</v>
      </c>
      <c r="B33" s="11">
        <v>3916.77</v>
      </c>
      <c r="C33" s="11">
        <v>3766.62</v>
      </c>
      <c r="D33" s="11">
        <v>0</v>
      </c>
      <c r="E33" s="11">
        <v>0</v>
      </c>
      <c r="F33" s="11">
        <v>2222.2199999999998</v>
      </c>
      <c r="G33" s="11">
        <v>5225.22</v>
      </c>
      <c r="H33" s="11">
        <v>2893.5</v>
      </c>
      <c r="I33" s="11">
        <v>7425</v>
      </c>
      <c r="J33" s="11">
        <v>1651.5</v>
      </c>
      <c r="K33" s="11">
        <v>1336.5</v>
      </c>
      <c r="L33" s="11">
        <v>5386.5</v>
      </c>
      <c r="M33" s="11">
        <v>1647</v>
      </c>
      <c r="N33" s="11">
        <f t="shared" si="22"/>
        <v>35470.83</v>
      </c>
    </row>
    <row r="34" spans="1:14" ht="26.25" customHeight="1" thickBot="1" x14ac:dyDescent="0.3">
      <c r="A34" s="4" t="s">
        <v>28</v>
      </c>
      <c r="B34" s="11">
        <v>336.13</v>
      </c>
      <c r="C34" s="11">
        <v>336.13</v>
      </c>
      <c r="D34" s="11">
        <v>336.13</v>
      </c>
      <c r="E34" s="11">
        <v>336.13</v>
      </c>
      <c r="F34" s="11">
        <v>336.13</v>
      </c>
      <c r="G34" s="11">
        <v>336.13</v>
      </c>
      <c r="H34" s="11">
        <v>342.16</v>
      </c>
      <c r="I34" s="11">
        <v>342.16</v>
      </c>
      <c r="J34" s="11">
        <v>342.16</v>
      </c>
      <c r="K34" s="11">
        <v>342.16</v>
      </c>
      <c r="L34" s="11">
        <v>342.16</v>
      </c>
      <c r="M34" s="11">
        <v>342.16</v>
      </c>
      <c r="N34" s="11">
        <f t="shared" si="22"/>
        <v>4069.7399999999993</v>
      </c>
    </row>
    <row r="35" spans="1:14" ht="22.5" customHeight="1" thickBot="1" x14ac:dyDescent="0.3">
      <c r="A35" s="4" t="s">
        <v>6</v>
      </c>
      <c r="B35" s="11">
        <f>3604.9*2.34</f>
        <v>8435.4660000000003</v>
      </c>
      <c r="C35" s="11">
        <f t="shared" ref="C35:G35" si="24">3604.9*2.34</f>
        <v>8435.4660000000003</v>
      </c>
      <c r="D35" s="11">
        <f t="shared" si="24"/>
        <v>8435.4660000000003</v>
      </c>
      <c r="E35" s="11">
        <f t="shared" si="24"/>
        <v>8435.4660000000003</v>
      </c>
      <c r="F35" s="11">
        <f t="shared" si="24"/>
        <v>8435.4660000000003</v>
      </c>
      <c r="G35" s="11">
        <f t="shared" si="24"/>
        <v>8435.4660000000003</v>
      </c>
      <c r="H35" s="21">
        <f>3604.9*2.79</f>
        <v>10057.671</v>
      </c>
      <c r="I35" s="21">
        <f t="shared" ref="I35:M35" si="25">3604.9*2.79</f>
        <v>10057.671</v>
      </c>
      <c r="J35" s="21">
        <f t="shared" si="25"/>
        <v>10057.671</v>
      </c>
      <c r="K35" s="21">
        <f t="shared" si="25"/>
        <v>10057.671</v>
      </c>
      <c r="L35" s="21">
        <f t="shared" si="25"/>
        <v>10057.671</v>
      </c>
      <c r="M35" s="21">
        <f t="shared" si="25"/>
        <v>10057.671</v>
      </c>
      <c r="N35" s="11">
        <f t="shared" si="22"/>
        <v>110958.82200000001</v>
      </c>
    </row>
    <row r="36" spans="1:14" ht="21.75" customHeight="1" thickBot="1" x14ac:dyDescent="0.3">
      <c r="A36" s="4" t="s">
        <v>27</v>
      </c>
      <c r="B36" s="11">
        <v>4840</v>
      </c>
      <c r="C36" s="11">
        <v>5945</v>
      </c>
      <c r="D36" s="11">
        <v>6060</v>
      </c>
      <c r="E36" s="11">
        <v>5250</v>
      </c>
      <c r="F36" s="11">
        <v>7300</v>
      </c>
      <c r="G36" s="11">
        <v>4235</v>
      </c>
      <c r="H36" s="11">
        <v>7250</v>
      </c>
      <c r="I36" s="11">
        <v>5260</v>
      </c>
      <c r="J36" s="11">
        <v>5230</v>
      </c>
      <c r="K36" s="11">
        <v>4450</v>
      </c>
      <c r="L36" s="11">
        <v>4730</v>
      </c>
      <c r="M36" s="11">
        <v>5390</v>
      </c>
      <c r="N36" s="11">
        <f t="shared" si="22"/>
        <v>65940</v>
      </c>
    </row>
    <row r="37" spans="1:14" ht="18.75" customHeight="1" thickBot="1" x14ac:dyDescent="0.3">
      <c r="A37" s="4" t="s">
        <v>42</v>
      </c>
      <c r="B37" s="11">
        <v>0</v>
      </c>
      <c r="C37" s="11">
        <v>0</v>
      </c>
      <c r="D37" s="11">
        <v>1863.88</v>
      </c>
      <c r="E37" s="11">
        <v>465.97</v>
      </c>
      <c r="F37" s="11">
        <v>465.97</v>
      </c>
      <c r="G37" s="11">
        <v>465.97</v>
      </c>
      <c r="H37" s="11">
        <v>465.97</v>
      </c>
      <c r="I37" s="11">
        <v>465.97</v>
      </c>
      <c r="J37" s="11">
        <v>465.97</v>
      </c>
      <c r="K37" s="11">
        <v>465.97</v>
      </c>
      <c r="L37" s="11">
        <v>465.97</v>
      </c>
      <c r="M37" s="11">
        <v>465.97</v>
      </c>
      <c r="N37" s="11">
        <f t="shared" si="22"/>
        <v>6057.6100000000024</v>
      </c>
    </row>
    <row r="38" spans="1:14" ht="24.75" customHeight="1" thickBot="1" x14ac:dyDescent="0.3">
      <c r="A38" s="4" t="s">
        <v>26</v>
      </c>
      <c r="B38" s="11">
        <f t="shared" ref="B38:G38" si="26">1140+420</f>
        <v>1560</v>
      </c>
      <c r="C38" s="11">
        <f t="shared" si="26"/>
        <v>1560</v>
      </c>
      <c r="D38" s="11">
        <f t="shared" si="26"/>
        <v>1560</v>
      </c>
      <c r="E38" s="11">
        <f t="shared" si="26"/>
        <v>1560</v>
      </c>
      <c r="F38" s="11">
        <f t="shared" si="26"/>
        <v>1560</v>
      </c>
      <c r="G38" s="11">
        <f t="shared" si="26"/>
        <v>1560</v>
      </c>
      <c r="H38" s="11">
        <f>420</f>
        <v>420</v>
      </c>
      <c r="I38" s="11">
        <f>420+1140</f>
        <v>1560</v>
      </c>
      <c r="J38" s="11">
        <f>420+1140</f>
        <v>1560</v>
      </c>
      <c r="K38" s="11">
        <f>420+1140</f>
        <v>1560</v>
      </c>
      <c r="L38" s="11">
        <f>420+1140</f>
        <v>1560</v>
      </c>
      <c r="M38" s="11">
        <f>420+1140</f>
        <v>1560</v>
      </c>
      <c r="N38" s="11">
        <f t="shared" si="22"/>
        <v>17580</v>
      </c>
    </row>
    <row r="39" spans="1:14" ht="24.75" customHeight="1" thickBot="1" x14ac:dyDescent="0.3">
      <c r="A39" s="4" t="s">
        <v>14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13912.13</v>
      </c>
      <c r="J39" s="11">
        <v>0</v>
      </c>
      <c r="K39" s="11">
        <v>0</v>
      </c>
      <c r="L39" s="11">
        <v>0</v>
      </c>
      <c r="M39" s="11">
        <v>0</v>
      </c>
      <c r="N39" s="11">
        <f t="shared" si="22"/>
        <v>13912.13</v>
      </c>
    </row>
    <row r="40" spans="1:14" ht="24" customHeight="1" thickBot="1" x14ac:dyDescent="0.3">
      <c r="A40" s="4" t="s">
        <v>10</v>
      </c>
      <c r="B40" s="11">
        <v>0</v>
      </c>
      <c r="C40" s="11">
        <f>2500</f>
        <v>2500</v>
      </c>
      <c r="D40" s="11">
        <f>75+150</f>
        <v>225</v>
      </c>
      <c r="E40" s="11">
        <f>3057.9+1644.1</f>
        <v>4702</v>
      </c>
      <c r="F40" s="11">
        <v>0</v>
      </c>
      <c r="G40" s="11">
        <v>0</v>
      </c>
      <c r="H40" s="11">
        <f>1203.6+840+1752.2+23173.8</f>
        <v>26969.599999999999</v>
      </c>
      <c r="I40" s="11">
        <f>11244+6260.8+3311.5+896.7+1421.2+1363.6</f>
        <v>24497.8</v>
      </c>
      <c r="J40" s="11">
        <f>2770+273.2</f>
        <v>3043.2</v>
      </c>
      <c r="K40" s="11">
        <f>1813.6+1106.3+13030.9+1061.1</f>
        <v>17011.899999999998</v>
      </c>
      <c r="L40" s="11">
        <f>1096.4+1727+3890.2+9610+68547.09</f>
        <v>84870.69</v>
      </c>
      <c r="M40" s="11">
        <f>170+2792.2</f>
        <v>2962.2</v>
      </c>
      <c r="N40" s="11">
        <f t="shared" si="22"/>
        <v>166782.39000000001</v>
      </c>
    </row>
    <row r="41" spans="1:14" ht="22.5" customHeight="1" thickBot="1" x14ac:dyDescent="0.3">
      <c r="A41" s="9" t="s">
        <v>24</v>
      </c>
      <c r="B41" s="10">
        <f t="shared" ref="B41:M41" si="27">SUM(B26:B40)</f>
        <v>53798.090379999994</v>
      </c>
      <c r="C41" s="10">
        <f t="shared" si="27"/>
        <v>56166.625699999997</v>
      </c>
      <c r="D41" s="10">
        <f t="shared" si="27"/>
        <v>51563.351669999989</v>
      </c>
      <c r="E41" s="10">
        <f t="shared" si="27"/>
        <v>55870.211359999994</v>
      </c>
      <c r="F41" s="10">
        <f t="shared" si="27"/>
        <v>57206.338779999998</v>
      </c>
      <c r="G41" s="10">
        <f t="shared" si="27"/>
        <v>58965.13091</v>
      </c>
      <c r="H41" s="10">
        <f t="shared" si="27"/>
        <v>87151.288710000008</v>
      </c>
      <c r="I41" s="10">
        <f t="shared" si="27"/>
        <v>106055.58847000002</v>
      </c>
      <c r="J41" s="10">
        <f t="shared" si="27"/>
        <v>68764.426130000007</v>
      </c>
      <c r="K41" s="10">
        <f t="shared" si="27"/>
        <v>76018.629610000004</v>
      </c>
      <c r="L41" s="10">
        <f t="shared" si="27"/>
        <v>149372.79699</v>
      </c>
      <c r="M41" s="10">
        <f t="shared" si="27"/>
        <v>60952.555270000004</v>
      </c>
      <c r="N41" s="10">
        <f>SUM(B41:M41)</f>
        <v>881885.03397999995</v>
      </c>
    </row>
    <row r="42" spans="1:14" ht="23.25" customHeight="1" thickBot="1" x14ac:dyDescent="0.3">
      <c r="A42" s="4" t="s">
        <v>5</v>
      </c>
      <c r="B42" s="18">
        <f t="shared" ref="B42:N42" si="28">B16-B41</f>
        <v>3774.2496200000023</v>
      </c>
      <c r="C42" s="18">
        <f t="shared" si="28"/>
        <v>11229.304299999996</v>
      </c>
      <c r="D42" s="18">
        <f t="shared" si="28"/>
        <v>3626.668330000015</v>
      </c>
      <c r="E42" s="18">
        <f t="shared" si="28"/>
        <v>10384.93864</v>
      </c>
      <c r="F42" s="18">
        <f t="shared" si="28"/>
        <v>11387.551220000016</v>
      </c>
      <c r="G42" s="18">
        <f t="shared" si="28"/>
        <v>-4507.2609100000045</v>
      </c>
      <c r="H42" s="18">
        <f t="shared" si="28"/>
        <v>-6114.6587100000179</v>
      </c>
      <c r="I42" s="18">
        <f t="shared" si="28"/>
        <v>-23924.888470000034</v>
      </c>
      <c r="J42" s="18">
        <f t="shared" si="28"/>
        <v>6673.1438699999999</v>
      </c>
      <c r="K42" s="18">
        <f t="shared" si="28"/>
        <v>-3928.5296100000123</v>
      </c>
      <c r="L42" s="18">
        <f t="shared" si="28"/>
        <v>-81272.766990000004</v>
      </c>
      <c r="M42" s="18">
        <f t="shared" si="28"/>
        <v>6483.2847299999921</v>
      </c>
      <c r="N42" s="11">
        <f t="shared" si="28"/>
        <v>-66188.963980000117</v>
      </c>
    </row>
    <row r="43" spans="1:14" ht="23.25" customHeight="1" thickBot="1" x14ac:dyDescent="0.3">
      <c r="A43" s="4" t="s">
        <v>7</v>
      </c>
      <c r="B43" s="14">
        <f>B5+B42</f>
        <v>-163965.57037999999</v>
      </c>
      <c r="C43" s="19">
        <f>B43+C42</f>
        <v>-152736.26608</v>
      </c>
      <c r="D43" s="19">
        <f>C43+D42</f>
        <v>-149109.59774999999</v>
      </c>
      <c r="E43" s="14">
        <f>D43+E42</f>
        <v>-138724.65910999998</v>
      </c>
      <c r="F43" s="19">
        <f>E43+F42</f>
        <v>-127337.10788999996</v>
      </c>
      <c r="G43" s="19">
        <f t="shared" ref="G43:N43" si="29">G5+G42</f>
        <v>-131844.36879999997</v>
      </c>
      <c r="H43" s="19">
        <f t="shared" si="29"/>
        <v>-137959.02750999999</v>
      </c>
      <c r="I43" s="19">
        <f t="shared" si="29"/>
        <v>-161883.91598000002</v>
      </c>
      <c r="J43" s="19">
        <f t="shared" si="29"/>
        <v>-155210.77211000002</v>
      </c>
      <c r="K43" s="19">
        <f t="shared" si="29"/>
        <v>-159139.30172000005</v>
      </c>
      <c r="L43" s="19">
        <f t="shared" si="29"/>
        <v>-240412.06871000005</v>
      </c>
      <c r="M43" s="19">
        <f t="shared" si="29"/>
        <v>-233928.78398000007</v>
      </c>
      <c r="N43" s="18">
        <f t="shared" si="29"/>
        <v>-233928.78398000012</v>
      </c>
    </row>
    <row r="44" spans="1:14" ht="27" customHeight="1" thickBot="1" x14ac:dyDescent="0.3">
      <c r="A44" s="15" t="s">
        <v>11</v>
      </c>
      <c r="B44" s="20">
        <f t="shared" ref="B44:N44" si="30">B6+B16-B7</f>
        <v>-248448.65999999997</v>
      </c>
      <c r="C44" s="20">
        <f t="shared" si="30"/>
        <v>-251690.39999999997</v>
      </c>
      <c r="D44" s="20">
        <f t="shared" si="30"/>
        <v>-265576.58999999997</v>
      </c>
      <c r="E44" s="20">
        <f t="shared" si="30"/>
        <v>-264634.48</v>
      </c>
      <c r="F44" s="20">
        <f t="shared" si="30"/>
        <v>-263031.42</v>
      </c>
      <c r="G44" s="20">
        <f t="shared" si="30"/>
        <v>-279643.07999999996</v>
      </c>
      <c r="H44" s="20">
        <f t="shared" si="30"/>
        <v>-285108.33999999997</v>
      </c>
      <c r="I44" s="20">
        <f t="shared" si="30"/>
        <v>-282398.33999999997</v>
      </c>
      <c r="J44" s="20">
        <f t="shared" si="30"/>
        <v>-294514.75999999995</v>
      </c>
      <c r="K44" s="20">
        <f t="shared" si="30"/>
        <v>-299914.19999999995</v>
      </c>
      <c r="L44" s="20">
        <f t="shared" si="30"/>
        <v>-312068.08999999997</v>
      </c>
      <c r="M44" s="20">
        <f t="shared" si="30"/>
        <v>-330018.77999999997</v>
      </c>
      <c r="N44" s="17">
        <f t="shared" si="30"/>
        <v>-330018.78000000014</v>
      </c>
    </row>
  </sheetData>
  <mergeCells count="1">
    <mergeCell ref="A1:N1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5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2022-03-15T05:32:17Z</cp:lastPrinted>
  <dcterms:created xsi:type="dcterms:W3CDTF">2011-06-06T03:25:48Z</dcterms:created>
  <dcterms:modified xsi:type="dcterms:W3CDTF">2022-03-15T05:45:17Z</dcterms:modified>
</cp:coreProperties>
</file>