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39" i="1" l="1"/>
  <c r="L39" i="1" l="1"/>
  <c r="M37" i="1" l="1"/>
  <c r="L37" i="1" l="1"/>
  <c r="K37" i="1" l="1"/>
  <c r="M29" i="1" l="1"/>
  <c r="M17" i="1"/>
  <c r="M28" i="1"/>
  <c r="M8" i="1"/>
  <c r="L29" i="1" l="1"/>
  <c r="L17" i="1"/>
  <c r="L28" i="1"/>
  <c r="L8" i="1"/>
  <c r="K39" i="1" l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I35" i="1" l="1"/>
  <c r="J35" i="1"/>
  <c r="H35" i="1"/>
  <c r="C35" i="1"/>
  <c r="D35" i="1"/>
  <c r="E35" i="1"/>
  <c r="F35" i="1"/>
  <c r="G35" i="1"/>
  <c r="B35" i="1"/>
  <c r="J39" i="1" l="1"/>
  <c r="I39" i="1" l="1"/>
  <c r="J31" i="1" l="1"/>
  <c r="J37" i="1" l="1"/>
  <c r="I37" i="1" l="1"/>
  <c r="H37" i="1" l="1"/>
  <c r="I30" i="1" l="1"/>
  <c r="J30" i="1"/>
  <c r="H30" i="1"/>
  <c r="J29" i="1" l="1"/>
  <c r="J17" i="1"/>
  <c r="J28" i="1"/>
  <c r="J8" i="1"/>
  <c r="H39" i="1" l="1"/>
  <c r="I29" i="1" l="1"/>
  <c r="I17" i="1"/>
  <c r="I28" i="1"/>
  <c r="I8" i="1"/>
  <c r="H29" i="1" l="1"/>
  <c r="H17" i="1"/>
  <c r="H28" i="1"/>
  <c r="H8" i="1"/>
  <c r="H27" i="1" l="1"/>
  <c r="I27" i="1"/>
  <c r="J27" i="1"/>
  <c r="H26" i="1"/>
  <c r="I26" i="1"/>
  <c r="J26" i="1"/>
  <c r="F39" i="1" l="1"/>
  <c r="G39" i="1"/>
  <c r="G37" i="1" l="1"/>
  <c r="F37" i="1" l="1"/>
  <c r="E37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27" i="1" l="1"/>
  <c r="F27" i="1"/>
  <c r="G27" i="1"/>
  <c r="E26" i="1"/>
  <c r="F26" i="1"/>
  <c r="G26" i="1"/>
  <c r="D37" i="1" l="1"/>
  <c r="D39" i="1" l="1"/>
  <c r="C31" i="1" l="1"/>
  <c r="C37" i="1" l="1"/>
  <c r="C39" i="1" l="1"/>
  <c r="D29" i="1" l="1"/>
  <c r="D17" i="1"/>
  <c r="D28" i="1"/>
  <c r="D8" i="1"/>
  <c r="C29" i="1" l="1"/>
  <c r="C17" i="1"/>
  <c r="C28" i="1"/>
  <c r="C8" i="1"/>
  <c r="B29" i="1" l="1"/>
  <c r="B17" i="1"/>
  <c r="B28" i="1"/>
  <c r="B8" i="1"/>
  <c r="B37" i="1" l="1"/>
  <c r="C27" i="1" l="1"/>
  <c r="D27" i="1"/>
  <c r="C26" i="1"/>
  <c r="D26" i="1"/>
  <c r="B27" i="1"/>
  <c r="B26" i="1"/>
  <c r="N23" i="1" l="1"/>
  <c r="N14" i="1"/>
  <c r="N6" i="1" l="1"/>
  <c r="N5" i="1"/>
  <c r="M7" i="1" l="1"/>
  <c r="N8" i="1"/>
  <c r="K7" i="1"/>
  <c r="N26" i="1"/>
  <c r="N27" i="1"/>
  <c r="N30" i="1"/>
  <c r="N31" i="1"/>
  <c r="N32" i="1"/>
  <c r="N33" i="1"/>
  <c r="N34" i="1"/>
  <c r="N35" i="1"/>
  <c r="N36" i="1"/>
  <c r="N37" i="1"/>
  <c r="N38" i="1"/>
  <c r="N39" i="1"/>
  <c r="N18" i="1"/>
  <c r="N19" i="1"/>
  <c r="N20" i="1"/>
  <c r="N21" i="1"/>
  <c r="N22" i="1"/>
  <c r="N24" i="1"/>
  <c r="N17" i="1"/>
  <c r="K16" i="1"/>
  <c r="L16" i="1"/>
  <c r="M16" i="1"/>
  <c r="N9" i="1"/>
  <c r="N10" i="1"/>
  <c r="N11" i="1"/>
  <c r="N12" i="1"/>
  <c r="N13" i="1"/>
  <c r="N15" i="1"/>
  <c r="M40" i="1" l="1"/>
  <c r="M41" i="1" s="1"/>
  <c r="L40" i="1"/>
  <c r="L41" i="1" s="1"/>
  <c r="L7" i="1"/>
  <c r="K40" i="1"/>
  <c r="K41" i="1" s="1"/>
  <c r="N29" i="1" l="1"/>
  <c r="H16" i="1" l="1"/>
  <c r="I16" i="1"/>
  <c r="J16" i="1"/>
  <c r="H7" i="1"/>
  <c r="J40" i="1" l="1"/>
  <c r="J41" i="1" s="1"/>
  <c r="J7" i="1"/>
  <c r="I7" i="1"/>
  <c r="I40" i="1"/>
  <c r="I41" i="1" s="1"/>
  <c r="H40" i="1" l="1"/>
  <c r="H41" i="1" s="1"/>
  <c r="N28" i="1" l="1"/>
  <c r="E16" i="1"/>
  <c r="F16" i="1"/>
  <c r="G16" i="1"/>
  <c r="E7" i="1"/>
  <c r="F7" i="1"/>
  <c r="G7" i="1"/>
  <c r="D16" i="1"/>
  <c r="D7" i="1"/>
  <c r="C16" i="1"/>
  <c r="C7" i="1"/>
  <c r="B16" i="1"/>
  <c r="B7" i="1"/>
  <c r="G40" i="1" l="1"/>
  <c r="G41" i="1" s="1"/>
  <c r="F40" i="1"/>
  <c r="F41" i="1" s="1"/>
  <c r="N16" i="1"/>
  <c r="N7" i="1"/>
  <c r="D40" i="1"/>
  <c r="D41" i="1" s="1"/>
  <c r="C40" i="1"/>
  <c r="C41" i="1" s="1"/>
  <c r="B43" i="1"/>
  <c r="C6" i="1" s="1"/>
  <c r="C43" i="1" s="1"/>
  <c r="D6" i="1" s="1"/>
  <c r="D43" i="1" s="1"/>
  <c r="E6" i="1" s="1"/>
  <c r="E43" i="1" s="1"/>
  <c r="F6" i="1" s="1"/>
  <c r="F43" i="1" l="1"/>
  <c r="G6" i="1" s="1"/>
  <c r="G43" i="1" s="1"/>
  <c r="H6" i="1" s="1"/>
  <c r="H43" i="1" s="1"/>
  <c r="I6" i="1" s="1"/>
  <c r="I43" i="1" s="1"/>
  <c r="J6" i="1" s="1"/>
  <c r="E40" i="1"/>
  <c r="B40" i="1"/>
  <c r="B41" i="1" s="1"/>
  <c r="B42" i="1" s="1"/>
  <c r="C5" i="1" s="1"/>
  <c r="J43" i="1" l="1"/>
  <c r="K6" i="1" s="1"/>
  <c r="K43" i="1" s="1"/>
  <c r="L6" i="1" s="1"/>
  <c r="L43" i="1" s="1"/>
  <c r="M6" i="1" s="1"/>
  <c r="M43" i="1" s="1"/>
  <c r="E41" i="1"/>
  <c r="N40" i="1"/>
  <c r="C42" i="1"/>
  <c r="D5" i="1" s="1"/>
  <c r="D42" i="1" l="1"/>
  <c r="E5" i="1" l="1"/>
  <c r="E42" i="1"/>
  <c r="F42" i="1" s="1"/>
  <c r="G42" i="1" s="1"/>
  <c r="F5" i="1" l="1"/>
  <c r="G5" i="1" l="1"/>
  <c r="H5" i="1" l="1"/>
  <c r="H42" i="1"/>
  <c r="I42" i="1" l="1"/>
  <c r="J42" i="1" s="1"/>
  <c r="I5" i="1"/>
  <c r="J5" i="1" l="1"/>
  <c r="N43" i="1"/>
  <c r="N41" i="1"/>
  <c r="N42" i="1"/>
  <c r="K5" i="1" l="1"/>
  <c r="K42" i="1"/>
  <c r="L5" i="1" l="1"/>
  <c r="L42" i="1"/>
  <c r="M42" i="1" l="1"/>
  <c r="M5" i="1"/>
</calcChain>
</file>

<file path=xl/comments1.xml><?xml version="1.0" encoding="utf-8"?>
<comments xmlns="http://schemas.openxmlformats.org/spreadsheetml/2006/main">
  <authors>
    <author>User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<sst xmlns="http://schemas.openxmlformats.org/spreadsheetml/2006/main" count="54" uniqueCount="45">
  <si>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</si>
  <si>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</si>
  <si>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</si>
  <si>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</si>
  <si>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</si>
  <si>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</si>
  <si>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</si>
  <si>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</si>
  <si>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</si>
  <si>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</si>
  <si>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</si>
  <si>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</si>
  <si>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</si>
  <si>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</si>
  <si>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</si>
  <si>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</si>
  <si>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</si>
  <si>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</si>
  <si>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</si>
  <si>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</si>
  <si>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</si>
  <si>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</si>
  <si>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</si>
  <si>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</si>
  <si>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</si>
  <si>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Вознаграждение, координация с советом МКД</t>
  </si>
  <si>
    <t xml:space="preserve">Тех.обслуживание ОПУ </t>
  </si>
  <si>
    <t>Отведение сточных вод ОИ</t>
  </si>
  <si>
    <t>Диагностика газового оборудования</t>
  </si>
  <si>
    <t>Содержание жилья и текущий ремонт,  ОПУ</t>
  </si>
  <si>
    <t xml:space="preserve">Содержание жилья и текущий ремонт,  ОПУ </t>
  </si>
  <si>
    <t>Январь 2021г.</t>
  </si>
  <si>
    <t>Февраль 2021г.</t>
  </si>
  <si>
    <t>Март 2021г.</t>
  </si>
  <si>
    <t>Апрель 2021г</t>
  </si>
  <si>
    <t>Май 2021г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</si>
  <si>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</si>
  <si>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</si>
  <si>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</si>
  <si>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</si>
  <si>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</si>
  <si>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</si>
  <si>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</si>
  <si>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</t>
  </si>
  <si>
    <t xml:space="preserve">      ОТЧЕТ по дому Васильева, 49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</si>
</sst>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Border="1"/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4.33203125" customWidth="1"/>
    <col min="3" max="3" width="15" customWidth="1"/>
    <col min="4" max="4" width="14.109375" customWidth="1"/>
    <col min="5" max="5" width="14.88671875" customWidth="1"/>
    <col min="6" max="6" width="14.33203125" customWidth="1"/>
    <col min="7" max="7" width="14.109375" customWidth="1"/>
    <col min="8" max="13" width="14.33203125" customWidth="1"/>
    <col min="14" max="14" width="20" customWidth="1"/>
  </cols>
  <sheetData>
    <row r="1" spans="1:18" ht="20.25" customHeight="1" x14ac:dyDescent="0.4">
      <c r="A1" s="23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20">
        <v>-392341.57</v>
      </c>
      <c r="C5" s="20">
        <f t="shared" ref="C5:D6" si="0">B42</f>
        <v>-385193.38585000002</v>
      </c>
      <c r="D5" s="20">
        <f t="shared" si="0"/>
        <v>-386738.07222999999</v>
      </c>
      <c r="E5" s="20">
        <f t="shared" ref="E5:E6" si="1">D42</f>
        <v>-383886.71201999998</v>
      </c>
      <c r="F5" s="20">
        <f t="shared" ref="F5:F6" si="2">E42</f>
        <v>-370777.23287999997</v>
      </c>
      <c r="G5" s="20">
        <f t="shared" ref="G5:G6" si="3">F42</f>
        <v>-591035.49696999998</v>
      </c>
      <c r="H5" s="20">
        <f t="shared" ref="H5:H6" si="4">G42</f>
        <v>-652358.55293999997</v>
      </c>
      <c r="I5" s="20">
        <f t="shared" ref="I5:I6" si="5">H42</f>
        <v>-656515.97262999997</v>
      </c>
      <c r="J5" s="20">
        <f t="shared" ref="J5:J6" si="6">I42</f>
        <v>-643306.08444000001</v>
      </c>
      <c r="K5" s="20">
        <f t="shared" ref="K5:K6" si="7">J42</f>
        <v>-592235.29689</v>
      </c>
      <c r="L5" s="20">
        <f t="shared" ref="L5:L6" si="8">K42</f>
        <v>-572065.27694999997</v>
      </c>
      <c r="M5" s="20">
        <f t="shared" ref="M5:M6" si="9">L42</f>
        <v>-550274.43727999995</v>
      </c>
      <c r="N5" s="20">
        <f>B5</f>
        <v>-392341.57</v>
      </c>
    </row>
    <row r="6" spans="1:18" ht="21" customHeight="1" thickBot="1" x14ac:dyDescent="0.3">
      <c r="A6" s="7" t="s">
        <v>13</v>
      </c>
      <c r="B6" s="20">
        <v>-192269.17</v>
      </c>
      <c r="C6" s="20">
        <f t="shared" si="0"/>
        <v>-196825.1</v>
      </c>
      <c r="D6" s="20">
        <f t="shared" si="0"/>
        <v>-201393.96</v>
      </c>
      <c r="E6" s="20">
        <f t="shared" si="1"/>
        <v>-207119.31</v>
      </c>
      <c r="F6" s="20">
        <f t="shared" si="2"/>
        <v>-209303.55</v>
      </c>
      <c r="G6" s="20">
        <f t="shared" si="3"/>
        <v>-210381.63999999998</v>
      </c>
      <c r="H6" s="20">
        <f t="shared" si="4"/>
        <v>-217538.55</v>
      </c>
      <c r="I6" s="20">
        <f t="shared" si="5"/>
        <v>-238844.82999999996</v>
      </c>
      <c r="J6" s="20">
        <f t="shared" si="6"/>
        <v>-238262.38</v>
      </c>
      <c r="K6" s="20">
        <f t="shared" si="7"/>
        <v>-188203.16999999998</v>
      </c>
      <c r="L6" s="20">
        <f t="shared" si="8"/>
        <v>-184467.71999999997</v>
      </c>
      <c r="M6" s="20">
        <f t="shared" si="9"/>
        <v>-182851.40999999997</v>
      </c>
      <c r="N6" s="20">
        <f>B6</f>
        <v>-192269.17</v>
      </c>
    </row>
    <row r="7" spans="1:18" ht="20.25" customHeight="1" thickBot="1" x14ac:dyDescent="0.3">
      <c r="A7" s="8" t="s">
        <v>12</v>
      </c>
      <c r="B7" s="11">
        <f>SUM(B8:B15)</f>
        <v>63418.75</v>
      </c>
      <c r="C7" s="11">
        <f>SUM(C8:C15)</f>
        <v>64883.060000000005</v>
      </c>
      <c r="D7" s="11">
        <f>SUM(D8:D15)</f>
        <v>64067.930000000008</v>
      </c>
      <c r="E7" s="11">
        <f t="shared" ref="E7:M7" si="10">SUM(E8:E15)</f>
        <v>62179.02</v>
      </c>
      <c r="F7" s="11">
        <f t="shared" si="10"/>
        <v>60188.43</v>
      </c>
      <c r="G7" s="11">
        <f t="shared" si="10"/>
        <v>61454.590000000004</v>
      </c>
      <c r="H7" s="11">
        <f t="shared" si="10"/>
        <v>78034.529999999984</v>
      </c>
      <c r="I7" s="11">
        <f t="shared" si="10"/>
        <v>78772.27</v>
      </c>
      <c r="J7" s="11">
        <f t="shared" si="10"/>
        <v>76903.55</v>
      </c>
      <c r="K7" s="11">
        <f t="shared" si="10"/>
        <v>73607.520000000004</v>
      </c>
      <c r="L7" s="11">
        <f t="shared" si="10"/>
        <v>77012.510000000009</v>
      </c>
      <c r="M7" s="11">
        <f t="shared" si="10"/>
        <v>75055.289999999994</v>
      </c>
      <c r="N7" s="11">
        <f>SUM(B7:M7)</f>
        <v>835577.45000000007</v>
      </c>
    </row>
    <row r="8" spans="1:18" ht="24.75" customHeight="1" thickBot="1" x14ac:dyDescent="0.3">
      <c r="A8" s="4" t="s">
        <v>29</v>
      </c>
      <c r="B8" s="12">
        <f t="shared" ref="B8:G8" si="11">50179.96+424.05+1201.52</f>
        <v>51805.53</v>
      </c>
      <c r="C8" s="12">
        <f t="shared" si="11"/>
        <v>51805.53</v>
      </c>
      <c r="D8" s="12">
        <f t="shared" si="11"/>
        <v>51805.53</v>
      </c>
      <c r="E8" s="12">
        <f t="shared" si="11"/>
        <v>51805.53</v>
      </c>
      <c r="F8" s="12">
        <f t="shared" si="11"/>
        <v>51805.53</v>
      </c>
      <c r="G8" s="12">
        <f t="shared" si="11"/>
        <v>51805.53</v>
      </c>
      <c r="H8" s="12">
        <f t="shared" ref="H8:M8" si="12">65728.68+424.05+1201.52</f>
        <v>67354.25</v>
      </c>
      <c r="I8" s="12">
        <f t="shared" si="12"/>
        <v>67354.25</v>
      </c>
      <c r="J8" s="12">
        <f t="shared" si="12"/>
        <v>67354.25</v>
      </c>
      <c r="K8" s="12">
        <f t="shared" si="12"/>
        <v>67354.25</v>
      </c>
      <c r="L8" s="12">
        <f t="shared" si="12"/>
        <v>67354.25</v>
      </c>
      <c r="M8" s="12">
        <f t="shared" si="12"/>
        <v>67354.25</v>
      </c>
      <c r="N8" s="12">
        <f>SUM(B8:M8)</f>
        <v>714958.67999999993</v>
      </c>
    </row>
    <row r="9" spans="1:18" ht="24.75" customHeight="1" thickBot="1" x14ac:dyDescent="0.3">
      <c r="A9" s="4" t="s">
        <v>17</v>
      </c>
      <c r="B9" s="12">
        <v>0</v>
      </c>
      <c r="C9" s="12">
        <v>0</v>
      </c>
      <c r="D9" s="12">
        <v>1458.91</v>
      </c>
      <c r="E9" s="12">
        <v>0</v>
      </c>
      <c r="F9" s="12">
        <v>0</v>
      </c>
      <c r="G9" s="12">
        <v>132.16</v>
      </c>
      <c r="H9" s="12">
        <v>0</v>
      </c>
      <c r="I9" s="12">
        <v>0</v>
      </c>
      <c r="J9" s="12">
        <v>0</v>
      </c>
      <c r="K9" s="12">
        <v>5369.35</v>
      </c>
      <c r="L9" s="12">
        <v>0</v>
      </c>
      <c r="M9" s="12">
        <v>0</v>
      </c>
      <c r="N9" s="12">
        <f t="shared" ref="N9:N15" si="13">SUM(B9:M9)</f>
        <v>6960.42</v>
      </c>
    </row>
    <row r="10" spans="1:18" ht="24.75" customHeight="1" thickBot="1" x14ac:dyDescent="0.3">
      <c r="A10" s="4" t="s">
        <v>18</v>
      </c>
      <c r="B10" s="12">
        <v>0</v>
      </c>
      <c r="C10" s="12">
        <v>1438.55</v>
      </c>
      <c r="D10" s="12">
        <v>1065.05</v>
      </c>
      <c r="E10" s="12">
        <v>0</v>
      </c>
      <c r="F10" s="12">
        <v>0</v>
      </c>
      <c r="G10" s="12">
        <v>250.26</v>
      </c>
      <c r="H10" s="12">
        <v>1227.54</v>
      </c>
      <c r="I10" s="12">
        <v>0</v>
      </c>
      <c r="J10" s="12">
        <v>43.77</v>
      </c>
      <c r="K10" s="12">
        <v>-11110.12</v>
      </c>
      <c r="L10" s="12">
        <v>1592.71</v>
      </c>
      <c r="M10" s="12">
        <v>0</v>
      </c>
      <c r="N10" s="12">
        <f t="shared" si="13"/>
        <v>-5492.2400000000007</v>
      </c>
    </row>
    <row r="11" spans="1:18" ht="24.75" customHeight="1" thickBot="1" x14ac:dyDescent="0.3">
      <c r="A11" s="4" t="s">
        <v>19</v>
      </c>
      <c r="B11" s="12">
        <v>5452.57</v>
      </c>
      <c r="C11" s="12">
        <v>5478.33</v>
      </c>
      <c r="D11" s="12">
        <v>3577.79</v>
      </c>
      <c r="E11" s="12">
        <v>4212.84</v>
      </c>
      <c r="F11" s="12">
        <v>2222.25</v>
      </c>
      <c r="G11" s="12">
        <v>3105.99</v>
      </c>
      <c r="H11" s="12">
        <v>3286.18</v>
      </c>
      <c r="I11" s="12">
        <v>5251.46</v>
      </c>
      <c r="J11" s="12">
        <v>3338.97</v>
      </c>
      <c r="K11" s="12">
        <v>5827.48</v>
      </c>
      <c r="L11" s="12">
        <v>1898.99</v>
      </c>
      <c r="M11" s="12">
        <v>1534.48</v>
      </c>
      <c r="N11" s="12">
        <f t="shared" si="13"/>
        <v>45187.33</v>
      </c>
    </row>
    <row r="12" spans="1:18" ht="24.75" customHeight="1" thickBot="1" x14ac:dyDescent="0.3">
      <c r="A12" s="4" t="s">
        <v>27</v>
      </c>
      <c r="B12" s="12">
        <v>336.65</v>
      </c>
      <c r="C12" s="12">
        <v>336.65</v>
      </c>
      <c r="D12" s="12">
        <v>336.65</v>
      </c>
      <c r="E12" s="12">
        <v>336.65</v>
      </c>
      <c r="F12" s="12">
        <v>336.65</v>
      </c>
      <c r="G12" s="12">
        <v>336.65</v>
      </c>
      <c r="H12" s="12">
        <v>342.56</v>
      </c>
      <c r="I12" s="12">
        <v>342.56</v>
      </c>
      <c r="J12" s="12">
        <v>342.56</v>
      </c>
      <c r="K12" s="12">
        <v>342.56</v>
      </c>
      <c r="L12" s="12">
        <v>342.56</v>
      </c>
      <c r="M12" s="12">
        <v>342.56</v>
      </c>
      <c r="N12" s="12">
        <f t="shared" si="13"/>
        <v>4075.2599999999998</v>
      </c>
    </row>
    <row r="13" spans="1:18" ht="24.75" customHeight="1" thickBot="1" x14ac:dyDescent="0.3">
      <c r="A13" s="4" t="s">
        <v>25</v>
      </c>
      <c r="B13" s="12">
        <v>4224</v>
      </c>
      <c r="C13" s="12">
        <v>4224</v>
      </c>
      <c r="D13" s="12">
        <v>4224</v>
      </c>
      <c r="E13" s="12">
        <v>4224</v>
      </c>
      <c r="F13" s="12">
        <v>4224</v>
      </c>
      <c r="G13" s="12">
        <v>4224</v>
      </c>
      <c r="H13" s="12">
        <v>4224</v>
      </c>
      <c r="I13" s="12">
        <v>4224</v>
      </c>
      <c r="J13" s="12">
        <v>4224</v>
      </c>
      <c r="K13" s="12">
        <v>4224</v>
      </c>
      <c r="L13" s="12">
        <v>4224</v>
      </c>
      <c r="M13" s="12">
        <v>4224</v>
      </c>
      <c r="N13" s="12">
        <f t="shared" si="13"/>
        <v>50688</v>
      </c>
    </row>
    <row r="14" spans="1:18" ht="24.75" hidden="1" customHeight="1" thickBot="1" x14ac:dyDescent="0.3">
      <c r="A14" s="21" t="s">
        <v>28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/>
      <c r="J14" s="12"/>
      <c r="K14" s="12"/>
      <c r="L14" s="12"/>
      <c r="M14" s="12"/>
      <c r="N14" s="12">
        <f t="shared" si="13"/>
        <v>0</v>
      </c>
    </row>
    <row r="15" spans="1:18" ht="24.75" customHeight="1" thickBot="1" x14ac:dyDescent="0.3">
      <c r="A15" s="4" t="s">
        <v>15</v>
      </c>
      <c r="B15" s="12">
        <v>1600</v>
      </c>
      <c r="C15" s="12">
        <v>1600</v>
      </c>
      <c r="D15" s="12">
        <v>1600</v>
      </c>
      <c r="E15" s="12">
        <v>1600</v>
      </c>
      <c r="F15" s="12">
        <v>1600</v>
      </c>
      <c r="G15" s="12">
        <v>1600</v>
      </c>
      <c r="H15" s="12">
        <v>1600</v>
      </c>
      <c r="I15" s="12">
        <v>1600</v>
      </c>
      <c r="J15" s="12">
        <v>1600</v>
      </c>
      <c r="K15" s="12">
        <v>1600</v>
      </c>
      <c r="L15" s="12">
        <v>1600</v>
      </c>
      <c r="M15" s="12">
        <v>1600</v>
      </c>
      <c r="N15" s="12">
        <f t="shared" si="13"/>
        <v>19200</v>
      </c>
    </row>
    <row r="16" spans="1:18" ht="20.25" customHeight="1" thickBot="1" x14ac:dyDescent="0.3">
      <c r="A16" s="9" t="s">
        <v>8</v>
      </c>
      <c r="B16" s="13">
        <f>SUM(B17:B24)</f>
        <v>58862.82</v>
      </c>
      <c r="C16" s="13">
        <f>SUM(C17:C24)</f>
        <v>60314.200000000004</v>
      </c>
      <c r="D16" s="13">
        <f>SUM(D17:D24)</f>
        <v>58342.58</v>
      </c>
      <c r="E16" s="13">
        <f t="shared" ref="E16:M16" si="14">SUM(E17:E24)</f>
        <v>59994.779999999992</v>
      </c>
      <c r="F16" s="13">
        <f t="shared" si="14"/>
        <v>59110.340000000004</v>
      </c>
      <c r="G16" s="13">
        <f t="shared" si="14"/>
        <v>54297.68</v>
      </c>
      <c r="H16" s="13">
        <f t="shared" si="14"/>
        <v>56728.25</v>
      </c>
      <c r="I16" s="13">
        <f t="shared" si="14"/>
        <v>79354.719999999987</v>
      </c>
      <c r="J16" s="13">
        <f t="shared" si="14"/>
        <v>126962.76000000002</v>
      </c>
      <c r="K16" s="13">
        <f t="shared" si="14"/>
        <v>77342.97</v>
      </c>
      <c r="L16" s="13">
        <f t="shared" si="14"/>
        <v>78628.820000000007</v>
      </c>
      <c r="M16" s="13">
        <f t="shared" si="14"/>
        <v>75758.19</v>
      </c>
      <c r="N16" s="13">
        <f>SUM(B16:M16)</f>
        <v>845698.10999999987</v>
      </c>
    </row>
    <row r="17" spans="1:15" ht="24" customHeight="1" thickBot="1" x14ac:dyDescent="0.3">
      <c r="A17" s="4" t="s">
        <v>30</v>
      </c>
      <c r="B17" s="12">
        <f>47556.16+404+1159.96</f>
        <v>49120.12</v>
      </c>
      <c r="C17" s="12">
        <f>48158.42+363.71+1059.22</f>
        <v>49581.35</v>
      </c>
      <c r="D17" s="12">
        <f>45130.22+358.87+1043.57</f>
        <v>46532.66</v>
      </c>
      <c r="E17" s="12">
        <f>47135.7+436.45+0.87+1262.63</f>
        <v>48835.649999999994</v>
      </c>
      <c r="F17" s="12">
        <f>47665.74+386.16+3.86+1122.63</f>
        <v>49178.39</v>
      </c>
      <c r="G17" s="12">
        <f>44752.62+0.15+363.71+1073.59</f>
        <v>46190.07</v>
      </c>
      <c r="H17" s="12">
        <f>46231.46+377.6+4.16+1084.01</f>
        <v>47697.23</v>
      </c>
      <c r="I17" s="12">
        <f>67453.44+419.78+3.23+1113.67</f>
        <v>68990.12</v>
      </c>
      <c r="J17" s="12">
        <f>113817+482.86+2.6+1273.02</f>
        <v>115575.48000000001</v>
      </c>
      <c r="K17" s="12">
        <f>66102.35+388.56+4.21+1202.61</f>
        <v>67697.73000000001</v>
      </c>
      <c r="L17" s="12">
        <f>60527.71+605.17+1.6+1252.48</f>
        <v>62386.96</v>
      </c>
      <c r="M17" s="12">
        <f>65540.37+381.52+2.5+1082.39</f>
        <v>67006.78</v>
      </c>
      <c r="N17" s="12">
        <f>SUM(B17:M17)</f>
        <v>718792.53999999992</v>
      </c>
    </row>
    <row r="18" spans="1:15" ht="26.25" customHeight="1" thickBot="1" x14ac:dyDescent="0.3">
      <c r="A18" s="4" t="s">
        <v>17</v>
      </c>
      <c r="B18" s="12">
        <v>55.3</v>
      </c>
      <c r="C18" s="12">
        <v>33.07</v>
      </c>
      <c r="D18" s="12">
        <v>18.07</v>
      </c>
      <c r="E18" s="12">
        <v>1291.17</v>
      </c>
      <c r="F18" s="12">
        <v>71.66</v>
      </c>
      <c r="G18" s="12">
        <v>27.38</v>
      </c>
      <c r="H18" s="12">
        <v>128.16999999999999</v>
      </c>
      <c r="I18" s="12">
        <v>35.770000000000003</v>
      </c>
      <c r="J18" s="12">
        <v>27.85</v>
      </c>
      <c r="K18" s="12">
        <v>80.680000000000007</v>
      </c>
      <c r="L18" s="12">
        <v>4558.93</v>
      </c>
      <c r="M18" s="12">
        <v>226.9</v>
      </c>
      <c r="N18" s="12">
        <f t="shared" ref="N18:N24" si="15">SUM(B18:M18)</f>
        <v>6554.9500000000007</v>
      </c>
    </row>
    <row r="19" spans="1:15" ht="26.25" customHeight="1" thickBot="1" x14ac:dyDescent="0.3">
      <c r="A19" s="4" t="s">
        <v>18</v>
      </c>
      <c r="B19" s="12">
        <v>789.85</v>
      </c>
      <c r="C19" s="12">
        <v>33.53</v>
      </c>
      <c r="D19" s="12">
        <v>1250.4000000000001</v>
      </c>
      <c r="E19" s="12">
        <v>959.62</v>
      </c>
      <c r="F19" s="12">
        <v>65.47</v>
      </c>
      <c r="G19" s="12">
        <v>30.42</v>
      </c>
      <c r="H19" s="12">
        <v>231.21</v>
      </c>
      <c r="I19" s="12">
        <v>1058.8499999999999</v>
      </c>
      <c r="J19" s="12">
        <v>95.29</v>
      </c>
      <c r="K19" s="12">
        <v>114.93</v>
      </c>
      <c r="L19" s="12">
        <v>42</v>
      </c>
      <c r="M19" s="12">
        <v>157.18</v>
      </c>
      <c r="N19" s="12">
        <f t="shared" si="15"/>
        <v>4828.7500000000009</v>
      </c>
    </row>
    <row r="20" spans="1:15" ht="26.25" customHeight="1" thickBot="1" x14ac:dyDescent="0.3">
      <c r="A20" s="4" t="s">
        <v>19</v>
      </c>
      <c r="B20" s="12">
        <v>3243.52</v>
      </c>
      <c r="C20" s="12">
        <v>4958.37</v>
      </c>
      <c r="D20" s="12">
        <v>4865.58</v>
      </c>
      <c r="E20" s="12">
        <v>3400.14</v>
      </c>
      <c r="F20" s="12">
        <v>3750.82</v>
      </c>
      <c r="G20" s="12">
        <v>2350.3000000000002</v>
      </c>
      <c r="H20" s="12">
        <v>2876.38</v>
      </c>
      <c r="I20" s="12">
        <v>3244.18</v>
      </c>
      <c r="J20" s="12">
        <v>4970.55</v>
      </c>
      <c r="K20" s="12">
        <v>3437.24</v>
      </c>
      <c r="L20" s="12">
        <v>5209.53</v>
      </c>
      <c r="M20" s="12">
        <v>2243.8000000000002</v>
      </c>
      <c r="N20" s="12">
        <f t="shared" si="15"/>
        <v>44550.41</v>
      </c>
    </row>
    <row r="21" spans="1:15" ht="26.25" customHeight="1" thickBot="1" x14ac:dyDescent="0.3">
      <c r="A21" s="4" t="s">
        <v>27</v>
      </c>
      <c r="B21" s="12">
        <v>315.99</v>
      </c>
      <c r="C21" s="12">
        <v>311.98</v>
      </c>
      <c r="D21" s="12">
        <v>302.81</v>
      </c>
      <c r="E21" s="12">
        <v>316.35000000000002</v>
      </c>
      <c r="F21" s="12">
        <v>302.02999999999997</v>
      </c>
      <c r="G21" s="12">
        <v>316.89</v>
      </c>
      <c r="H21" s="12">
        <v>312</v>
      </c>
      <c r="I21" s="12">
        <v>335.12</v>
      </c>
      <c r="J21" s="12">
        <v>339.91</v>
      </c>
      <c r="K21" s="12">
        <v>331.56</v>
      </c>
      <c r="L21" s="12">
        <v>331.96</v>
      </c>
      <c r="M21" s="12">
        <v>342.13</v>
      </c>
      <c r="N21" s="12">
        <f t="shared" si="15"/>
        <v>3858.73</v>
      </c>
    </row>
    <row r="22" spans="1:15" ht="26.25" customHeight="1" thickBot="1" x14ac:dyDescent="0.3">
      <c r="A22" s="4" t="s">
        <v>25</v>
      </c>
      <c r="B22" s="12">
        <v>3738.04</v>
      </c>
      <c r="C22" s="12">
        <v>3795.9</v>
      </c>
      <c r="D22" s="12">
        <v>3773.06</v>
      </c>
      <c r="E22" s="12">
        <v>3591.85</v>
      </c>
      <c r="F22" s="12">
        <v>4121.1899999999996</v>
      </c>
      <c r="G22" s="12">
        <v>3682.62</v>
      </c>
      <c r="H22" s="12">
        <v>3860.9</v>
      </c>
      <c r="I22" s="12">
        <v>4073.29</v>
      </c>
      <c r="J22" s="12">
        <v>4339.71</v>
      </c>
      <c r="K22" s="12">
        <v>4058.19</v>
      </c>
      <c r="L22" s="12">
        <v>4020.14</v>
      </c>
      <c r="M22" s="12">
        <v>4167.93</v>
      </c>
      <c r="N22" s="12">
        <f t="shared" si="15"/>
        <v>47222.820000000007</v>
      </c>
    </row>
    <row r="23" spans="1:15" ht="26.25" customHeight="1" thickBot="1" x14ac:dyDescent="0.3">
      <c r="A23" s="21" t="s">
        <v>28</v>
      </c>
      <c r="B23" s="12">
        <v>0</v>
      </c>
      <c r="C23" s="12">
        <v>0</v>
      </c>
      <c r="D23" s="12">
        <v>0</v>
      </c>
      <c r="E23" s="12">
        <v>0</v>
      </c>
      <c r="F23" s="12">
        <v>20.78</v>
      </c>
      <c r="G23" s="12">
        <v>100</v>
      </c>
      <c r="H23" s="12">
        <v>22.36</v>
      </c>
      <c r="I23" s="12">
        <v>17.39</v>
      </c>
      <c r="J23" s="12">
        <v>13.97</v>
      </c>
      <c r="K23" s="12">
        <v>22.64</v>
      </c>
      <c r="L23" s="12">
        <v>479.3</v>
      </c>
      <c r="M23" s="12">
        <v>13.47</v>
      </c>
      <c r="N23" s="12">
        <f t="shared" si="15"/>
        <v>689.91000000000008</v>
      </c>
    </row>
    <row r="24" spans="1:15" ht="26.25" customHeight="1" thickBot="1" x14ac:dyDescent="0.3">
      <c r="A24" s="4" t="s">
        <v>15</v>
      </c>
      <c r="B24" s="14">
        <v>1600</v>
      </c>
      <c r="C24" s="14">
        <v>1600</v>
      </c>
      <c r="D24" s="14">
        <v>1600</v>
      </c>
      <c r="E24" s="14">
        <v>1600</v>
      </c>
      <c r="F24" s="14">
        <v>1600</v>
      </c>
      <c r="G24" s="14">
        <v>1600</v>
      </c>
      <c r="H24" s="14">
        <v>1600</v>
      </c>
      <c r="I24" s="14">
        <v>1600</v>
      </c>
      <c r="J24" s="14">
        <v>1600</v>
      </c>
      <c r="K24" s="14">
        <v>1600</v>
      </c>
      <c r="L24" s="14">
        <v>1600</v>
      </c>
      <c r="M24" s="14">
        <v>1600</v>
      </c>
      <c r="N24" s="12">
        <f t="shared" si="15"/>
        <v>19200</v>
      </c>
      <c r="O24" s="3"/>
    </row>
    <row r="25" spans="1:15" ht="21.75" customHeight="1" thickBot="1" x14ac:dyDescent="0.3">
      <c r="A25" s="10" t="s">
        <v>24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5" ht="19.5" customHeight="1" thickBot="1" x14ac:dyDescent="0.3">
      <c r="A26" s="4" t="s">
        <v>1</v>
      </c>
      <c r="B26" s="12">
        <f t="shared" ref="B26:M26" si="16">3533.8*0.55</f>
        <v>1943.5900000000001</v>
      </c>
      <c r="C26" s="12">
        <f t="shared" si="16"/>
        <v>1943.5900000000001</v>
      </c>
      <c r="D26" s="12">
        <f t="shared" si="16"/>
        <v>1943.5900000000001</v>
      </c>
      <c r="E26" s="12">
        <f t="shared" si="16"/>
        <v>1943.5900000000001</v>
      </c>
      <c r="F26" s="12">
        <f t="shared" si="16"/>
        <v>1943.5900000000001</v>
      </c>
      <c r="G26" s="12">
        <f t="shared" si="16"/>
        <v>1943.5900000000001</v>
      </c>
      <c r="H26" s="12">
        <f t="shared" si="16"/>
        <v>1943.5900000000001</v>
      </c>
      <c r="I26" s="12">
        <f t="shared" si="16"/>
        <v>1943.5900000000001</v>
      </c>
      <c r="J26" s="12">
        <f t="shared" si="16"/>
        <v>1943.5900000000001</v>
      </c>
      <c r="K26" s="12">
        <f t="shared" si="16"/>
        <v>1943.5900000000001</v>
      </c>
      <c r="L26" s="12">
        <f t="shared" si="16"/>
        <v>1943.5900000000001</v>
      </c>
      <c r="M26" s="12">
        <f t="shared" si="16"/>
        <v>1943.5900000000001</v>
      </c>
      <c r="N26" s="12">
        <f t="shared" ref="N26:N39" si="17">SUM(B26:M26)</f>
        <v>23323.08</v>
      </c>
    </row>
    <row r="27" spans="1:15" ht="22.5" customHeight="1" thickBot="1" x14ac:dyDescent="0.3">
      <c r="A27" s="4" t="s">
        <v>2</v>
      </c>
      <c r="B27" s="12">
        <f t="shared" ref="B27:M27" si="18">3533.8*0.17</f>
        <v>600.74600000000009</v>
      </c>
      <c r="C27" s="12">
        <f t="shared" si="18"/>
        <v>600.74600000000009</v>
      </c>
      <c r="D27" s="12">
        <f t="shared" si="18"/>
        <v>600.74600000000009</v>
      </c>
      <c r="E27" s="12">
        <f t="shared" si="18"/>
        <v>600.74600000000009</v>
      </c>
      <c r="F27" s="12">
        <f t="shared" si="18"/>
        <v>600.74600000000009</v>
      </c>
      <c r="G27" s="12">
        <f t="shared" si="18"/>
        <v>600.74600000000009</v>
      </c>
      <c r="H27" s="12">
        <f t="shared" si="18"/>
        <v>600.74600000000009</v>
      </c>
      <c r="I27" s="12">
        <f t="shared" si="18"/>
        <v>600.74600000000009</v>
      </c>
      <c r="J27" s="12">
        <f t="shared" si="18"/>
        <v>600.74600000000009</v>
      </c>
      <c r="K27" s="12">
        <f t="shared" si="18"/>
        <v>600.74600000000009</v>
      </c>
      <c r="L27" s="12">
        <f t="shared" si="18"/>
        <v>600.74600000000009</v>
      </c>
      <c r="M27" s="12">
        <f t="shared" si="18"/>
        <v>600.74600000000009</v>
      </c>
      <c r="N27" s="12">
        <f t="shared" si="17"/>
        <v>7208.9520000000011</v>
      </c>
    </row>
    <row r="28" spans="1:15" ht="21" customHeight="1" thickBot="1" x14ac:dyDescent="0.3">
      <c r="A28" s="4" t="s">
        <v>3</v>
      </c>
      <c r="B28" s="12">
        <f>61818.75*2.3%</f>
        <v>1421.83125</v>
      </c>
      <c r="C28" s="12">
        <f>63283.06*2.3%</f>
        <v>1455.5103799999999</v>
      </c>
      <c r="D28" s="12">
        <f>62467.93*2.3%</f>
        <v>1436.7623900000001</v>
      </c>
      <c r="E28" s="12">
        <f>60579.02*2.3%</f>
        <v>1393.31746</v>
      </c>
      <c r="F28" s="12">
        <f>58588.43*2.3%</f>
        <v>1347.5338899999999</v>
      </c>
      <c r="G28" s="12">
        <f>59854.59*2.3%</f>
        <v>1376.6555699999999</v>
      </c>
      <c r="H28" s="12">
        <f>76434.53*2.3%</f>
        <v>1757.9941899999999</v>
      </c>
      <c r="I28" s="12">
        <f>77172.27*2.3%</f>
        <v>1774.9622100000001</v>
      </c>
      <c r="J28" s="12">
        <f>75303.55*2.3%</f>
        <v>1731.9816499999999</v>
      </c>
      <c r="K28" s="12">
        <f>72007.52*2.3%</f>
        <v>1656.1729600000001</v>
      </c>
      <c r="L28" s="12">
        <f>75412.51*2.3%</f>
        <v>1734.4877299999998</v>
      </c>
      <c r="M28" s="12">
        <f>73455.29*2.3%</f>
        <v>1689.4716699999999</v>
      </c>
      <c r="N28" s="12">
        <f t="shared" si="17"/>
        <v>18776.681349999995</v>
      </c>
    </row>
    <row r="29" spans="1:15" ht="23.25" customHeight="1" thickBot="1" x14ac:dyDescent="0.3">
      <c r="A29" s="4" t="s">
        <v>4</v>
      </c>
      <c r="B29" s="12">
        <f>57262.82*3%</f>
        <v>1717.8845999999999</v>
      </c>
      <c r="C29" s="12">
        <f>58714.2*3%</f>
        <v>1761.4259999999999</v>
      </c>
      <c r="D29" s="12">
        <f>56742.58*3%</f>
        <v>1702.2773999999999</v>
      </c>
      <c r="E29" s="12">
        <f>58394.78*3%</f>
        <v>1751.8434</v>
      </c>
      <c r="F29" s="12">
        <f>57510.34*3%</f>
        <v>1725.3101999999999</v>
      </c>
      <c r="G29" s="12">
        <f>52697.68*3%</f>
        <v>1580.9304</v>
      </c>
      <c r="H29" s="12">
        <f>55128.25*3%</f>
        <v>1653.8474999999999</v>
      </c>
      <c r="I29" s="12">
        <f>77754.72*3%</f>
        <v>2332.6415999999999</v>
      </c>
      <c r="J29" s="12">
        <f>125362.76*3%</f>
        <v>3760.8827999999999</v>
      </c>
      <c r="K29" s="12">
        <f>75742.97*3%</f>
        <v>2272.2891</v>
      </c>
      <c r="L29" s="12">
        <f>77028.82*3%</f>
        <v>2310.8646000000003</v>
      </c>
      <c r="M29" s="12">
        <f>74158.19*3%</f>
        <v>2224.7456999999999</v>
      </c>
      <c r="N29" s="12">
        <f t="shared" si="17"/>
        <v>24794.943299999999</v>
      </c>
    </row>
    <row r="30" spans="1:15" ht="23.25" customHeight="1" thickBot="1" x14ac:dyDescent="0.3">
      <c r="A30" s="4" t="s">
        <v>9</v>
      </c>
      <c r="B30" s="12">
        <v>26150.12</v>
      </c>
      <c r="C30" s="12">
        <v>26150.12</v>
      </c>
      <c r="D30" s="12">
        <v>26150.12</v>
      </c>
      <c r="E30" s="12">
        <v>26150.12</v>
      </c>
      <c r="F30" s="12">
        <v>26150.12</v>
      </c>
      <c r="G30" s="12">
        <v>26150.12</v>
      </c>
      <c r="H30" s="22">
        <f>3533.8*8.5</f>
        <v>30037.300000000003</v>
      </c>
      <c r="I30" s="22">
        <f t="shared" ref="I30:M30" si="19">3533.8*8.5</f>
        <v>30037.300000000003</v>
      </c>
      <c r="J30" s="22">
        <f t="shared" si="19"/>
        <v>30037.300000000003</v>
      </c>
      <c r="K30" s="22">
        <f t="shared" si="19"/>
        <v>30037.300000000003</v>
      </c>
      <c r="L30" s="22">
        <f t="shared" si="19"/>
        <v>30037.300000000003</v>
      </c>
      <c r="M30" s="22">
        <f t="shared" si="19"/>
        <v>30037.300000000003</v>
      </c>
      <c r="N30" s="12">
        <f t="shared" si="17"/>
        <v>337124.51999999996</v>
      </c>
    </row>
    <row r="31" spans="1:15" ht="26.25" customHeight="1" thickBot="1" x14ac:dyDescent="0.3">
      <c r="A31" s="4" t="s">
        <v>20</v>
      </c>
      <c r="B31" s="12">
        <v>0</v>
      </c>
      <c r="C31" s="12">
        <f>1284.37+174.51</f>
        <v>1458.8799999999999</v>
      </c>
      <c r="D31" s="12">
        <v>0</v>
      </c>
      <c r="E31" s="12">
        <v>0</v>
      </c>
      <c r="F31" s="12">
        <v>132.18</v>
      </c>
      <c r="G31" s="12">
        <v>0</v>
      </c>
      <c r="H31" s="12">
        <v>0</v>
      </c>
      <c r="I31" s="12">
        <v>0</v>
      </c>
      <c r="J31" s="12">
        <f>4711.87+657.4</f>
        <v>5369.2699999999995</v>
      </c>
      <c r="K31" s="12">
        <v>0</v>
      </c>
      <c r="L31" s="12">
        <v>0</v>
      </c>
      <c r="M31" s="12">
        <v>0</v>
      </c>
      <c r="N31" s="12">
        <f t="shared" si="17"/>
        <v>6960.33</v>
      </c>
    </row>
    <row r="32" spans="1:15" ht="26.25" customHeight="1" thickBot="1" x14ac:dyDescent="0.3">
      <c r="A32" s="4" t="s">
        <v>21</v>
      </c>
      <c r="B32" s="12">
        <v>1438.67</v>
      </c>
      <c r="C32" s="12">
        <v>1065.29</v>
      </c>
      <c r="D32" s="12">
        <v>0</v>
      </c>
      <c r="E32" s="12">
        <v>0</v>
      </c>
      <c r="F32" s="12">
        <v>250.26</v>
      </c>
      <c r="G32" s="12">
        <v>1227.5999999999999</v>
      </c>
      <c r="H32" s="12">
        <v>0</v>
      </c>
      <c r="I32" s="12">
        <v>43.7</v>
      </c>
      <c r="J32" s="12">
        <v>146.11000000000001</v>
      </c>
      <c r="K32" s="12">
        <v>1592.96</v>
      </c>
      <c r="L32" s="12">
        <v>0</v>
      </c>
      <c r="M32" s="12">
        <v>0</v>
      </c>
      <c r="N32" s="12">
        <f t="shared" si="17"/>
        <v>5764.59</v>
      </c>
    </row>
    <row r="33" spans="1:14" ht="26.25" customHeight="1" thickBot="1" x14ac:dyDescent="0.3">
      <c r="A33" s="4" t="s">
        <v>22</v>
      </c>
      <c r="B33" s="12">
        <v>5478.33</v>
      </c>
      <c r="C33" s="12">
        <v>3577.86</v>
      </c>
      <c r="D33" s="12">
        <v>4212.78</v>
      </c>
      <c r="E33" s="12">
        <v>2222.2199999999998</v>
      </c>
      <c r="F33" s="12">
        <v>3105.96</v>
      </c>
      <c r="G33" s="12">
        <v>3286.14</v>
      </c>
      <c r="H33" s="12">
        <v>5251.5</v>
      </c>
      <c r="I33" s="12">
        <v>3339</v>
      </c>
      <c r="J33" s="12">
        <v>5827.5</v>
      </c>
      <c r="K33" s="12">
        <v>1899</v>
      </c>
      <c r="L33" s="12">
        <v>1534.5</v>
      </c>
      <c r="M33" s="12">
        <v>4639.5</v>
      </c>
      <c r="N33" s="12">
        <f t="shared" si="17"/>
        <v>44374.29</v>
      </c>
    </row>
    <row r="34" spans="1:14" ht="26.25" customHeight="1" thickBot="1" x14ac:dyDescent="0.3">
      <c r="A34" s="4" t="s">
        <v>27</v>
      </c>
      <c r="B34" s="12">
        <v>336.47</v>
      </c>
      <c r="C34" s="12">
        <v>336.47</v>
      </c>
      <c r="D34" s="12">
        <v>336.47</v>
      </c>
      <c r="E34" s="12">
        <v>336.47</v>
      </c>
      <c r="F34" s="12">
        <v>336.47</v>
      </c>
      <c r="G34" s="12">
        <v>336.47</v>
      </c>
      <c r="H34" s="12">
        <v>342.49</v>
      </c>
      <c r="I34" s="12">
        <v>342.49</v>
      </c>
      <c r="J34" s="12">
        <v>342.49</v>
      </c>
      <c r="K34" s="12">
        <v>342.49</v>
      </c>
      <c r="L34" s="12">
        <v>342.49</v>
      </c>
      <c r="M34" s="12">
        <v>342.49</v>
      </c>
      <c r="N34" s="12">
        <f t="shared" si="17"/>
        <v>4073.7599999999993</v>
      </c>
    </row>
    <row r="35" spans="1:14" ht="22.5" customHeight="1" thickBot="1" x14ac:dyDescent="0.3">
      <c r="A35" s="4" t="s">
        <v>6</v>
      </c>
      <c r="B35" s="12">
        <f>3533.8*2.13</f>
        <v>7526.9939999999997</v>
      </c>
      <c r="C35" s="12">
        <f t="shared" ref="C35:G35" si="20">3533.8*2.13</f>
        <v>7526.9939999999997</v>
      </c>
      <c r="D35" s="12">
        <f t="shared" si="20"/>
        <v>7526.9939999999997</v>
      </c>
      <c r="E35" s="12">
        <f t="shared" si="20"/>
        <v>7526.9939999999997</v>
      </c>
      <c r="F35" s="12">
        <f t="shared" si="20"/>
        <v>7526.9939999999997</v>
      </c>
      <c r="G35" s="12">
        <f t="shared" si="20"/>
        <v>7526.9939999999997</v>
      </c>
      <c r="H35" s="22">
        <f>3533.8*2.79</f>
        <v>9859.3020000000015</v>
      </c>
      <c r="I35" s="22">
        <f t="shared" ref="I35:M35" si="21">3533.8*2.79</f>
        <v>9859.3020000000015</v>
      </c>
      <c r="J35" s="22">
        <f t="shared" si="21"/>
        <v>9859.3020000000015</v>
      </c>
      <c r="K35" s="22">
        <f t="shared" si="21"/>
        <v>9859.3020000000015</v>
      </c>
      <c r="L35" s="22">
        <f t="shared" si="21"/>
        <v>9859.3020000000015</v>
      </c>
      <c r="M35" s="22">
        <f t="shared" si="21"/>
        <v>9859.3020000000015</v>
      </c>
      <c r="N35" s="12">
        <f t="shared" si="17"/>
        <v>104317.776</v>
      </c>
    </row>
    <row r="36" spans="1:14" ht="21.75" customHeight="1" thickBot="1" x14ac:dyDescent="0.3">
      <c r="A36" s="4" t="s">
        <v>25</v>
      </c>
      <c r="B36" s="12">
        <v>3540</v>
      </c>
      <c r="C36" s="12">
        <v>3595</v>
      </c>
      <c r="D36" s="12">
        <v>3920</v>
      </c>
      <c r="E36" s="12">
        <v>3400</v>
      </c>
      <c r="F36" s="12">
        <v>3900</v>
      </c>
      <c r="G36" s="12">
        <v>3437</v>
      </c>
      <c r="H36" s="12">
        <v>3455</v>
      </c>
      <c r="I36" s="12">
        <v>3760</v>
      </c>
      <c r="J36" s="12">
        <v>4200</v>
      </c>
      <c r="K36" s="12">
        <v>3650</v>
      </c>
      <c r="L36" s="12">
        <v>3865</v>
      </c>
      <c r="M36" s="12">
        <v>4095</v>
      </c>
      <c r="N36" s="12">
        <f t="shared" si="17"/>
        <v>44817</v>
      </c>
    </row>
    <row r="37" spans="1:14" ht="24.75" customHeight="1" thickBot="1" x14ac:dyDescent="0.3">
      <c r="A37" s="4" t="s">
        <v>26</v>
      </c>
      <c r="B37" s="12">
        <f>1140+420</f>
        <v>1560</v>
      </c>
      <c r="C37" s="12">
        <f>420</f>
        <v>420</v>
      </c>
      <c r="D37" s="12">
        <f t="shared" ref="D37:I37" si="22">1140+420</f>
        <v>1560</v>
      </c>
      <c r="E37" s="12">
        <f t="shared" si="22"/>
        <v>1560</v>
      </c>
      <c r="F37" s="12">
        <f t="shared" si="22"/>
        <v>1560</v>
      </c>
      <c r="G37" s="12">
        <f t="shared" si="22"/>
        <v>1560</v>
      </c>
      <c r="H37" s="12">
        <f t="shared" si="22"/>
        <v>1560</v>
      </c>
      <c r="I37" s="12">
        <f t="shared" si="22"/>
        <v>1560</v>
      </c>
      <c r="J37" s="12">
        <f>1140+420</f>
        <v>1560</v>
      </c>
      <c r="K37" s="12">
        <f>1140+420</f>
        <v>1560</v>
      </c>
      <c r="L37" s="12">
        <f>1140+420</f>
        <v>1560</v>
      </c>
      <c r="M37" s="12">
        <f>1140+420</f>
        <v>1560</v>
      </c>
      <c r="N37" s="12">
        <f t="shared" si="17"/>
        <v>17580</v>
      </c>
    </row>
    <row r="38" spans="1:14" ht="24.75" customHeight="1" thickBot="1" x14ac:dyDescent="0.3">
      <c r="A38" s="4" t="s">
        <v>14</v>
      </c>
      <c r="B38" s="12">
        <v>0</v>
      </c>
      <c r="C38" s="12">
        <v>0</v>
      </c>
      <c r="D38" s="12">
        <v>0</v>
      </c>
      <c r="E38" s="12">
        <v>0</v>
      </c>
      <c r="F38" s="12">
        <v>15220.66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f t="shared" si="17"/>
        <v>15220.66</v>
      </c>
    </row>
    <row r="39" spans="1:14" ht="24" customHeight="1" thickBot="1" x14ac:dyDescent="0.3">
      <c r="A39" s="4" t="s">
        <v>10</v>
      </c>
      <c r="B39" s="12">
        <v>0</v>
      </c>
      <c r="C39" s="12">
        <f>11967</f>
        <v>11967</v>
      </c>
      <c r="D39" s="12">
        <f>1770+4331.48</f>
        <v>6101.48</v>
      </c>
      <c r="E39" s="12">
        <v>0</v>
      </c>
      <c r="F39" s="12">
        <f>6115.8+124413.67+12539.31+72500</f>
        <v>215568.78</v>
      </c>
      <c r="G39" s="12">
        <f>66594.49</f>
        <v>66594.490000000005</v>
      </c>
      <c r="H39" s="12">
        <f>4423.9</f>
        <v>4423.8999999999996</v>
      </c>
      <c r="I39" s="12">
        <f>9051.1+1500</f>
        <v>10551.1</v>
      </c>
      <c r="J39" s="12">
        <f>7875+1447.8+1190</f>
        <v>10512.8</v>
      </c>
      <c r="K39" s="12">
        <f>1759.1</f>
        <v>1759.1</v>
      </c>
      <c r="L39" s="12">
        <f>3049.7</f>
        <v>3049.7</v>
      </c>
      <c r="M39" s="12">
        <f>8621.13</f>
        <v>8621.1299999999992</v>
      </c>
      <c r="N39" s="12">
        <f t="shared" si="17"/>
        <v>339149.48</v>
      </c>
    </row>
    <row r="40" spans="1:14" ht="22.5" customHeight="1" thickBot="1" x14ac:dyDescent="0.3">
      <c r="A40" s="8" t="s">
        <v>23</v>
      </c>
      <c r="B40" s="11">
        <f t="shared" ref="B40:M40" si="23">SUM(B26:B39)</f>
        <v>51714.635849999999</v>
      </c>
      <c r="C40" s="11">
        <f t="shared" si="23"/>
        <v>61858.886379999996</v>
      </c>
      <c r="D40" s="11">
        <f t="shared" si="23"/>
        <v>55491.219790000003</v>
      </c>
      <c r="E40" s="11">
        <f t="shared" si="23"/>
        <v>46885.300859999996</v>
      </c>
      <c r="F40" s="11">
        <f t="shared" si="23"/>
        <v>279368.60408999998</v>
      </c>
      <c r="G40" s="11">
        <f t="shared" si="23"/>
        <v>115620.73597000001</v>
      </c>
      <c r="H40" s="11">
        <f t="shared" si="23"/>
        <v>60885.669690000002</v>
      </c>
      <c r="I40" s="11">
        <f t="shared" si="23"/>
        <v>66144.831810000003</v>
      </c>
      <c r="J40" s="11">
        <f t="shared" si="23"/>
        <v>75891.972450000001</v>
      </c>
      <c r="K40" s="11">
        <f t="shared" si="23"/>
        <v>57172.950060000003</v>
      </c>
      <c r="L40" s="11">
        <f t="shared" si="23"/>
        <v>56837.980330000006</v>
      </c>
      <c r="M40" s="11">
        <f t="shared" si="23"/>
        <v>65613.275370000003</v>
      </c>
      <c r="N40" s="11">
        <f>SUM(B40:M40)</f>
        <v>993486.06265000021</v>
      </c>
    </row>
    <row r="41" spans="1:14" ht="23.25" customHeight="1" thickBot="1" x14ac:dyDescent="0.3">
      <c r="A41" s="4" t="s">
        <v>5</v>
      </c>
      <c r="B41" s="17">
        <f t="shared" ref="B41:N41" si="24">B16-B40</f>
        <v>7148.184150000001</v>
      </c>
      <c r="C41" s="17">
        <f t="shared" si="24"/>
        <v>-1544.6863799999919</v>
      </c>
      <c r="D41" s="17">
        <f t="shared" si="24"/>
        <v>2851.3602099999989</v>
      </c>
      <c r="E41" s="17">
        <f t="shared" si="24"/>
        <v>13109.479139999996</v>
      </c>
      <c r="F41" s="17">
        <f t="shared" si="24"/>
        <v>-220258.26408999998</v>
      </c>
      <c r="G41" s="17">
        <f t="shared" si="24"/>
        <v>-61323.055970000009</v>
      </c>
      <c r="H41" s="17">
        <f t="shared" si="24"/>
        <v>-4157.4196900000024</v>
      </c>
      <c r="I41" s="17">
        <f t="shared" si="24"/>
        <v>13209.888189999983</v>
      </c>
      <c r="J41" s="17">
        <f t="shared" si="24"/>
        <v>51070.787550000023</v>
      </c>
      <c r="K41" s="17">
        <f t="shared" si="24"/>
        <v>20170.019939999998</v>
      </c>
      <c r="L41" s="17">
        <f t="shared" si="24"/>
        <v>21790.839670000001</v>
      </c>
      <c r="M41" s="17">
        <f t="shared" si="24"/>
        <v>10144.914629999999</v>
      </c>
      <c r="N41" s="12">
        <f t="shared" si="24"/>
        <v>-147787.95265000034</v>
      </c>
    </row>
    <row r="42" spans="1:14" ht="23.25" customHeight="1" thickBot="1" x14ac:dyDescent="0.3">
      <c r="A42" s="4" t="s">
        <v>7</v>
      </c>
      <c r="B42" s="14">
        <f>B5+B41</f>
        <v>-385193.38585000002</v>
      </c>
      <c r="C42" s="18">
        <f>B42+C41</f>
        <v>-386738.07222999999</v>
      </c>
      <c r="D42" s="18">
        <f>C42+D41</f>
        <v>-383886.71201999998</v>
      </c>
      <c r="E42" s="18">
        <f t="shared" ref="E42:G42" si="25">D42+E41</f>
        <v>-370777.23287999997</v>
      </c>
      <c r="F42" s="18">
        <f t="shared" si="25"/>
        <v>-591035.49696999998</v>
      </c>
      <c r="G42" s="18">
        <f t="shared" si="25"/>
        <v>-652358.55293999997</v>
      </c>
      <c r="H42" s="18">
        <f t="shared" ref="H42" si="26">G42+H41</f>
        <v>-656515.97262999997</v>
      </c>
      <c r="I42" s="18">
        <f t="shared" ref="I42" si="27">H42+I41</f>
        <v>-643306.08444000001</v>
      </c>
      <c r="J42" s="18">
        <f t="shared" ref="J42" si="28">I42+J41</f>
        <v>-592235.29689</v>
      </c>
      <c r="K42" s="18">
        <f t="shared" ref="K42" si="29">J42+K41</f>
        <v>-572065.27694999997</v>
      </c>
      <c r="L42" s="18">
        <f t="shared" ref="L42" si="30">K42+L41</f>
        <v>-550274.43727999995</v>
      </c>
      <c r="M42" s="18">
        <f t="shared" ref="M42" si="31">L42+M41</f>
        <v>-540129.52264999994</v>
      </c>
      <c r="N42" s="18">
        <f>N5-N40+N16</f>
        <v>-540129.52265000041</v>
      </c>
    </row>
    <row r="43" spans="1:14" ht="27" customHeight="1" thickBot="1" x14ac:dyDescent="0.3">
      <c r="A43" s="10" t="s">
        <v>11</v>
      </c>
      <c r="B43" s="19">
        <f t="shared" ref="B43:N43" si="32">B6+B16-B7</f>
        <v>-196825.1</v>
      </c>
      <c r="C43" s="19">
        <f t="shared" si="32"/>
        <v>-201393.96</v>
      </c>
      <c r="D43" s="19">
        <f t="shared" si="32"/>
        <v>-207119.31</v>
      </c>
      <c r="E43" s="19">
        <f t="shared" si="32"/>
        <v>-209303.55</v>
      </c>
      <c r="F43" s="19">
        <f t="shared" si="32"/>
        <v>-210381.63999999998</v>
      </c>
      <c r="G43" s="19">
        <f t="shared" si="32"/>
        <v>-217538.55</v>
      </c>
      <c r="H43" s="19">
        <f t="shared" si="32"/>
        <v>-238844.82999999996</v>
      </c>
      <c r="I43" s="19">
        <f t="shared" si="32"/>
        <v>-238262.38</v>
      </c>
      <c r="J43" s="19">
        <f t="shared" si="32"/>
        <v>-188203.16999999998</v>
      </c>
      <c r="K43" s="19">
        <f t="shared" si="32"/>
        <v>-184467.71999999997</v>
      </c>
      <c r="L43" s="19">
        <f t="shared" si="32"/>
        <v>-182851.40999999997</v>
      </c>
      <c r="M43" s="19">
        <f t="shared" si="32"/>
        <v>-182148.50999999995</v>
      </c>
      <c r="N43" s="19">
        <f t="shared" si="32"/>
        <v>-182148.51000000024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8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2022-03-14T07:06:13Z</cp:lastPrinted>
  <dcterms:created xsi:type="dcterms:W3CDTF">2011-06-06T03:25:48Z</dcterms:created>
  <dcterms:modified xsi:type="dcterms:W3CDTF">2022-03-14T07:13:35Z</dcterms:modified>
</cp:coreProperties>
</file>