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J37" i="1" l="1"/>
  <c r="M37" i="1"/>
  <c r="L37" i="1" l="1"/>
  <c r="K37" i="1" l="1"/>
  <c r="M35" i="1" l="1"/>
  <c r="L35" i="1" l="1"/>
  <c r="K35" i="1" l="1"/>
  <c r="M27" i="1" l="1"/>
  <c r="M16" i="1"/>
  <c r="M26" i="1"/>
  <c r="M8" i="1"/>
  <c r="L27" i="1" l="1"/>
  <c r="L16" i="1"/>
  <c r="L26" i="1"/>
  <c r="L8" i="1"/>
  <c r="K27" i="1" l="1"/>
  <c r="K16" i="1"/>
  <c r="K26" i="1"/>
  <c r="K8" i="1"/>
  <c r="L33" i="1" l="1"/>
  <c r="M33" i="1"/>
  <c r="K33" i="1"/>
  <c r="L28" i="1"/>
  <c r="M28" i="1"/>
  <c r="K28" i="1"/>
  <c r="K25" i="1"/>
  <c r="L25" i="1"/>
  <c r="M25" i="1"/>
  <c r="K24" i="1"/>
  <c r="L24" i="1"/>
  <c r="M24" i="1"/>
  <c r="C33" i="1" l="1"/>
  <c r="D33" i="1"/>
  <c r="E33" i="1"/>
  <c r="F33" i="1"/>
  <c r="G33" i="1"/>
  <c r="H33" i="1"/>
  <c r="I33" i="1"/>
  <c r="J33" i="1"/>
  <c r="B33" i="1"/>
  <c r="G16" i="1" l="1"/>
  <c r="G15" i="1" s="1"/>
  <c r="J29" i="1" l="1"/>
  <c r="I29" i="1"/>
  <c r="H29" i="1"/>
  <c r="J35" i="1" l="1"/>
  <c r="I35" i="1" l="1"/>
  <c r="H35" i="1" l="1"/>
  <c r="J27" i="1" l="1"/>
  <c r="J16" i="1"/>
  <c r="J26" i="1"/>
  <c r="J8" i="1"/>
  <c r="I27" i="1" l="1"/>
  <c r="I16" i="1"/>
  <c r="I26" i="1"/>
  <c r="I8" i="1"/>
  <c r="H27" i="1" l="1"/>
  <c r="H16" i="1"/>
  <c r="H26" i="1"/>
  <c r="H8" i="1"/>
  <c r="H25" i="1" l="1"/>
  <c r="I25" i="1"/>
  <c r="J25" i="1"/>
  <c r="H24" i="1"/>
  <c r="I24" i="1"/>
  <c r="J24" i="1"/>
  <c r="G24" i="1"/>
  <c r="F37" i="1" l="1"/>
  <c r="G37" i="1" l="1"/>
  <c r="E37" i="1" l="1"/>
  <c r="G29" i="1" l="1"/>
  <c r="F29" i="1"/>
  <c r="E29" i="1"/>
  <c r="G27" i="1" l="1"/>
  <c r="G26" i="1"/>
  <c r="G8" i="1"/>
  <c r="F27" i="1" l="1"/>
  <c r="F16" i="1"/>
  <c r="F26" i="1"/>
  <c r="F8" i="1"/>
  <c r="E27" i="1" l="1"/>
  <c r="E16" i="1"/>
  <c r="E26" i="1"/>
  <c r="E8" i="1"/>
  <c r="E25" i="1" l="1"/>
  <c r="F25" i="1"/>
  <c r="G25" i="1"/>
  <c r="E24" i="1"/>
  <c r="F24" i="1"/>
  <c r="D29" i="1" l="1"/>
  <c r="C29" i="1"/>
  <c r="B29" i="1"/>
  <c r="D37" i="1" l="1"/>
  <c r="D27" i="1" l="1"/>
  <c r="D16" i="1"/>
  <c r="D26" i="1"/>
  <c r="D8" i="1"/>
  <c r="C27" i="1" l="1"/>
  <c r="C16" i="1"/>
  <c r="C26" i="1"/>
  <c r="C8" i="1"/>
  <c r="B27" i="1" l="1"/>
  <c r="B16" i="1"/>
  <c r="B26" i="1"/>
  <c r="B8" i="1"/>
  <c r="N14" i="1" l="1"/>
  <c r="N8" i="1" l="1"/>
  <c r="H15" i="1"/>
  <c r="C25" i="1" l="1"/>
  <c r="D25" i="1"/>
  <c r="C24" i="1"/>
  <c r="D24" i="1"/>
  <c r="B25" i="1"/>
  <c r="B24" i="1"/>
  <c r="N37" i="1" l="1"/>
  <c r="N25" i="1"/>
  <c r="N26" i="1"/>
  <c r="N27" i="1"/>
  <c r="N28" i="1"/>
  <c r="N29" i="1"/>
  <c r="N30" i="1"/>
  <c r="N31" i="1"/>
  <c r="N32" i="1"/>
  <c r="N33" i="1"/>
  <c r="N34" i="1"/>
  <c r="N35" i="1"/>
  <c r="N36" i="1"/>
  <c r="N24" i="1"/>
  <c r="N17" i="1"/>
  <c r="N18" i="1"/>
  <c r="N19" i="1"/>
  <c r="N20" i="1"/>
  <c r="N21" i="1"/>
  <c r="N22" i="1"/>
  <c r="N16" i="1"/>
  <c r="I15" i="1"/>
  <c r="J15" i="1"/>
  <c r="G38" i="1" l="1"/>
  <c r="G39" i="1" s="1"/>
  <c r="N13" i="1"/>
  <c r="N6" i="1" l="1"/>
  <c r="N5" i="1"/>
  <c r="N9" i="1"/>
  <c r="L15" i="1" l="1"/>
  <c r="L7" i="1"/>
  <c r="K15" i="1"/>
  <c r="K7" i="1"/>
  <c r="M15" i="1"/>
  <c r="M7" i="1"/>
  <c r="N10" i="1"/>
  <c r="N12" i="1"/>
  <c r="N11" i="1"/>
  <c r="M38" i="1" l="1"/>
  <c r="M39" i="1" s="1"/>
  <c r="L38" i="1"/>
  <c r="L39" i="1" s="1"/>
  <c r="K38" i="1"/>
  <c r="K39" i="1" l="1"/>
  <c r="I38" i="1"/>
  <c r="I39" i="1" s="1"/>
  <c r="J38" i="1"/>
  <c r="J39" i="1" s="1"/>
  <c r="H7" i="1"/>
  <c r="I7" i="1"/>
  <c r="J7" i="1"/>
  <c r="G7" i="1"/>
  <c r="F15" i="1"/>
  <c r="F7" i="1"/>
  <c r="E15" i="1"/>
  <c r="E7" i="1"/>
  <c r="F38" i="1" l="1"/>
  <c r="F39" i="1" s="1"/>
  <c r="E38" i="1"/>
  <c r="E39" i="1" s="1"/>
  <c r="D15" i="1"/>
  <c r="D7" i="1"/>
  <c r="C15" i="1"/>
  <c r="C7" i="1"/>
  <c r="B15" i="1"/>
  <c r="B7" i="1"/>
  <c r="N7" i="1" l="1"/>
  <c r="N15" i="1"/>
  <c r="D38" i="1"/>
  <c r="D39" i="1" s="1"/>
  <c r="C38" i="1"/>
  <c r="C39" i="1" s="1"/>
  <c r="B38" i="1"/>
  <c r="H38" i="1"/>
  <c r="H39" i="1" s="1"/>
  <c r="B41" i="1"/>
  <c r="C6" i="1" s="1"/>
  <c r="C41" i="1" s="1"/>
  <c r="N41" i="1" l="1"/>
  <c r="N38" i="1"/>
  <c r="N39" i="1" s="1"/>
  <c r="N40" i="1" s="1"/>
  <c r="D6" i="1"/>
  <c r="D41" i="1" s="1"/>
  <c r="E6" i="1" l="1"/>
  <c r="E41" i="1" s="1"/>
  <c r="B39" i="1"/>
  <c r="B40" i="1" s="1"/>
  <c r="F6" i="1" l="1"/>
  <c r="C5" i="1"/>
  <c r="C40" i="1" l="1"/>
  <c r="D5" i="1" s="1"/>
  <c r="D40" i="1" s="1"/>
  <c r="E5" i="1" s="1"/>
  <c r="E40" i="1" s="1"/>
  <c r="F41" i="1"/>
  <c r="G6" i="1" s="1"/>
  <c r="G41" i="1" s="1"/>
  <c r="H6" i="1" s="1"/>
  <c r="H41" i="1" s="1"/>
  <c r="F5" i="1" l="1"/>
  <c r="I6" i="1"/>
  <c r="I41" i="1" s="1"/>
  <c r="F40" i="1" l="1"/>
  <c r="G5" i="1" s="1"/>
  <c r="G40" i="1" s="1"/>
  <c r="H5" i="1" s="1"/>
  <c r="H40" i="1" s="1"/>
  <c r="J6" i="1"/>
  <c r="J41" i="1" s="1"/>
  <c r="K6" i="1" l="1"/>
  <c r="K41" i="1" s="1"/>
  <c r="I5" i="1"/>
  <c r="I40" i="1" s="1"/>
  <c r="L6" i="1" l="1"/>
  <c r="L41" i="1" s="1"/>
  <c r="J5" i="1"/>
  <c r="J40" i="1" s="1"/>
  <c r="M6" i="1" l="1"/>
  <c r="M41" i="1" s="1"/>
  <c r="K5" i="1"/>
  <c r="K40" i="1" s="1"/>
  <c r="L5" i="1" l="1"/>
  <c r="L40" i="1" s="1"/>
  <c r="M5" i="1" l="1"/>
  <c r="M40" i="1" s="1"/>
</calcChain>
</file>

<file path=xl/sharedStrings.xml><?xml version="1.0" encoding="utf-8"?>
<sst xmlns="http://schemas.openxmlformats.org/spreadsheetml/2006/main" count="52" uniqueCount="44">
  <si>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</si>
  <si>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</si>
  <si>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</si>
  <si>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</si>
  <si>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</si>
  <si>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</si>
  <si>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</si>
  <si>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</si>
  <si>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</si>
  <si>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</si>
  <si>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</si>
  <si>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</si>
  <si>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</si>
  <si>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</si>
  <si>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Тех.обслуживание газового оборудования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</si>
  <si>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</si>
  <si>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</si>
  <si>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</si>
  <si>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</si>
  <si>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</si>
  <si>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</si>
  <si>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</si>
  <si>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</si>
  <si>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</si>
  <si>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</si>
  <si>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Отведение сточных вод ОИ</t>
  </si>
  <si>
    <t>Тех.обслуживание узла учета тепловой энергии</t>
  </si>
  <si>
    <t>Содержание жилья и текущий ремонт,  ОПУ /нежилые</t>
  </si>
  <si>
    <t>Январь 2021г.</t>
  </si>
  <si>
    <t>Февраль 2021г.</t>
  </si>
  <si>
    <t>Март 2021г.</t>
  </si>
  <si>
    <t>Апрель 2021г.</t>
  </si>
  <si>
    <t>Май 2021г.</t>
  </si>
  <si>
    <t>Июнь 2021г.</t>
  </si>
  <si>
    <t>Июль 2021г</t>
  </si>
  <si>
    <t>Август 2021г</t>
  </si>
  <si>
    <t>Сентябрь 2021г</t>
  </si>
  <si>
    <t>Октябрь 2021г.</t>
  </si>
  <si>
    <t>Ноябрь 2021г.</t>
  </si>
  <si>
    <t>Декабрь 2021г</t>
  </si>
  <si>
    <t>Всего:                       за  2021г</t>
  </si>
  <si>
    <t xml:space="preserve">Содержание жилья и текущий ремонт,  ОПУ </t>
  </si>
  <si>
    <t>Расходы на общедомовые нужды</t>
  </si>
  <si>
    <t xml:space="preserve">  ОТЧЕТ по дому Васильева, 40 за период 01.01.2021г. по 31.12.2021г.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</si>
</sst>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6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164" fontId="5" fillId="2" borderId="4" xfId="0" applyNumberFormat="1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vertical="top" wrapText="1"/>
    </xf>
    <xf numFmtId="164" fontId="5" fillId="3" borderId="4" xfId="0" applyNumberFormat="1" applyFont="1" applyFill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0" fontId="5" fillId="4" borderId="3" xfId="0" applyFont="1" applyFill="1" applyBorder="1" applyAlignment="1">
      <alignment vertical="top" wrapText="1"/>
    </xf>
    <xf numFmtId="164" fontId="5" fillId="4" borderId="4" xfId="0" applyNumberFormat="1" applyFont="1" applyFill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5" fillId="0" borderId="3" xfId="0" applyFont="1" applyBorder="1" applyAlignment="1">
      <alignment vertical="top" wrapText="1"/>
    </xf>
    <xf numFmtId="164" fontId="5" fillId="0" borderId="5" xfId="0" applyNumberFormat="1" applyFont="1" applyBorder="1" applyAlignment="1">
      <alignment horizontal="left" vertical="top" wrapText="1"/>
    </xf>
    <xf numFmtId="164" fontId="5" fillId="0" borderId="2" xfId="0" applyNumberFormat="1" applyFont="1" applyBorder="1" applyAlignment="1">
      <alignment horizontal="left" vertical="top" wrapText="1"/>
    </xf>
    <xf numFmtId="164" fontId="4" fillId="0" borderId="6" xfId="0" applyNumberFormat="1" applyFont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0" fillId="0" borderId="0" xfId="0" applyAlignment="1"/>
    <xf numFmtId="164" fontId="4" fillId="0" borderId="4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topLeftCell="B31" zoomScale="75" workbookViewId="0">
      <selection activeCell="L44" sqref="L44"/>
    </sheetView>
  </sheetViews>
  <sheetFormatPr defaultRowHeight="13.2" x14ac:dyDescent="0.25"/>
  <cols>
    <col min="1" max="1" width="59.44140625" customWidth="1"/>
    <col min="2" max="2" width="14.5546875" customWidth="1"/>
    <col min="3" max="4" width="13.88671875" customWidth="1"/>
    <col min="5" max="5" width="14.33203125" customWidth="1"/>
    <col min="6" max="6" width="13.88671875" customWidth="1"/>
    <col min="7" max="7" width="16.5546875" customWidth="1"/>
    <col min="8" max="8" width="13.33203125" customWidth="1"/>
    <col min="9" max="9" width="13.6640625" customWidth="1"/>
    <col min="10" max="13" width="14.109375" customWidth="1"/>
    <col min="14" max="14" width="16.109375" customWidth="1"/>
  </cols>
  <sheetData>
    <row r="1" spans="1:17" ht="20.25" customHeight="1" x14ac:dyDescent="0.4">
      <c r="A1" s="21" t="s">
        <v>43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9"/>
      <c r="P1" s="19"/>
      <c r="Q1" s="19"/>
    </row>
    <row r="2" spans="1:17" ht="7.5" customHeight="1" thickBot="1" x14ac:dyDescent="0.3">
      <c r="A2" s="1"/>
    </row>
    <row r="3" spans="1:17" ht="3" hidden="1" customHeight="1" thickBot="1" x14ac:dyDescent="0.3">
      <c r="A3" s="1"/>
    </row>
    <row r="4" spans="1:17" ht="38.25" customHeight="1" thickBot="1" x14ac:dyDescent="0.3">
      <c r="A4" s="4" t="s">
        <v>0</v>
      </c>
      <c r="B4" s="5" t="s">
        <v>28</v>
      </c>
      <c r="C4" s="5" t="s">
        <v>29</v>
      </c>
      <c r="D4" s="5" t="s">
        <v>30</v>
      </c>
      <c r="E4" s="5" t="s">
        <v>31</v>
      </c>
      <c r="F4" s="5" t="s">
        <v>32</v>
      </c>
      <c r="G4" s="5" t="s">
        <v>33</v>
      </c>
      <c r="H4" s="5" t="s">
        <v>34</v>
      </c>
      <c r="I4" s="5" t="s">
        <v>35</v>
      </c>
      <c r="J4" s="5" t="s">
        <v>36</v>
      </c>
      <c r="K4" s="5" t="s">
        <v>37</v>
      </c>
      <c r="L4" s="5" t="s">
        <v>38</v>
      </c>
      <c r="M4" s="5" t="s">
        <v>39</v>
      </c>
      <c r="N4" s="5" t="s">
        <v>40</v>
      </c>
    </row>
    <row r="5" spans="1:17" ht="23.25" customHeight="1" thickBot="1" x14ac:dyDescent="0.3">
      <c r="A5" s="6" t="s">
        <v>16</v>
      </c>
      <c r="B5" s="7">
        <v>-587799.43000000005</v>
      </c>
      <c r="C5" s="7">
        <f t="shared" ref="C5:D6" si="0">B40</f>
        <v>-601853.30007000011</v>
      </c>
      <c r="D5" s="7">
        <f t="shared" si="0"/>
        <v>-617890.8973500001</v>
      </c>
      <c r="E5" s="7">
        <f t="shared" ref="E5:G6" si="1">D40</f>
        <v>-629710.57942000008</v>
      </c>
      <c r="F5" s="7">
        <f t="shared" si="1"/>
        <v>-640833.40155000007</v>
      </c>
      <c r="G5" s="7">
        <f t="shared" si="1"/>
        <v>-730644.42439000006</v>
      </c>
      <c r="H5" s="7">
        <f t="shared" ref="H5:H6" si="2">G40</f>
        <v>-771524.71365000005</v>
      </c>
      <c r="I5" s="7">
        <f t="shared" ref="I5:I6" si="3">H40</f>
        <v>-783536.56102000002</v>
      </c>
      <c r="J5" s="7">
        <f t="shared" ref="J5:J6" si="4">I40</f>
        <v>-798826.01172000007</v>
      </c>
      <c r="K5" s="7">
        <f t="shared" ref="K5:K6" si="5">J40</f>
        <v>-892436.50904000003</v>
      </c>
      <c r="L5" s="7">
        <f t="shared" ref="L5:L6" si="6">K40</f>
        <v>-939961.56622000004</v>
      </c>
      <c r="M5" s="7">
        <f t="shared" ref="M5:M6" si="7">L40</f>
        <v>-971804.84830000007</v>
      </c>
      <c r="N5" s="7">
        <f>B5</f>
        <v>-587799.43000000005</v>
      </c>
    </row>
    <row r="6" spans="1:17" ht="21" customHeight="1" thickBot="1" x14ac:dyDescent="0.3">
      <c r="A6" s="6" t="s">
        <v>13</v>
      </c>
      <c r="B6" s="7">
        <v>-361361.66</v>
      </c>
      <c r="C6" s="7">
        <f t="shared" si="0"/>
        <v>-393980.50999999995</v>
      </c>
      <c r="D6" s="7">
        <f t="shared" si="0"/>
        <v>-423887.19999999995</v>
      </c>
      <c r="E6" s="7">
        <f t="shared" si="1"/>
        <v>-453528.7099999999</v>
      </c>
      <c r="F6" s="7">
        <f t="shared" si="1"/>
        <v>-477417.83999999991</v>
      </c>
      <c r="G6" s="7">
        <f t="shared" si="1"/>
        <v>-508272.1399999999</v>
      </c>
      <c r="H6" s="7">
        <f t="shared" si="2"/>
        <v>-541971.7699999999</v>
      </c>
      <c r="I6" s="7">
        <f t="shared" si="3"/>
        <v>-571128.29999999993</v>
      </c>
      <c r="J6" s="7">
        <f t="shared" si="4"/>
        <v>-598872.06999999995</v>
      </c>
      <c r="K6" s="7">
        <f t="shared" si="5"/>
        <v>-635342.64</v>
      </c>
      <c r="L6" s="7">
        <f t="shared" si="6"/>
        <v>-670964.85000000009</v>
      </c>
      <c r="M6" s="7">
        <f t="shared" si="7"/>
        <v>-706221.51</v>
      </c>
      <c r="N6" s="7">
        <f>B6</f>
        <v>-361361.66</v>
      </c>
    </row>
    <row r="7" spans="1:17" ht="20.25" customHeight="1" thickBot="1" x14ac:dyDescent="0.3">
      <c r="A7" s="8" t="s">
        <v>12</v>
      </c>
      <c r="B7" s="9">
        <f t="shared" ref="B7:M7" si="8">SUM(B8:B14)</f>
        <v>67403.69</v>
      </c>
      <c r="C7" s="9">
        <f t="shared" si="8"/>
        <v>65701.66</v>
      </c>
      <c r="D7" s="9">
        <f t="shared" si="8"/>
        <v>68704.289999999994</v>
      </c>
      <c r="E7" s="9">
        <f t="shared" si="8"/>
        <v>67003.509999999995</v>
      </c>
      <c r="F7" s="9">
        <f t="shared" si="8"/>
        <v>66699.28</v>
      </c>
      <c r="G7" s="9">
        <f t="shared" si="8"/>
        <v>73350.719999999987</v>
      </c>
      <c r="H7" s="9">
        <f t="shared" si="8"/>
        <v>68564.59</v>
      </c>
      <c r="I7" s="9">
        <f t="shared" si="8"/>
        <v>68064.599999999991</v>
      </c>
      <c r="J7" s="9">
        <f t="shared" si="8"/>
        <v>72239.14</v>
      </c>
      <c r="K7" s="9">
        <f t="shared" si="8"/>
        <v>77000.160000000003</v>
      </c>
      <c r="L7" s="9">
        <f t="shared" si="8"/>
        <v>73082.960000000006</v>
      </c>
      <c r="M7" s="9">
        <f t="shared" si="8"/>
        <v>73082.960000000006</v>
      </c>
      <c r="N7" s="9">
        <f>SUM(B7:M7)</f>
        <v>840897.55999999994</v>
      </c>
    </row>
    <row r="8" spans="1:17" ht="24.75" customHeight="1" thickBot="1" x14ac:dyDescent="0.3">
      <c r="A8" s="3" t="s">
        <v>41</v>
      </c>
      <c r="B8" s="10">
        <f t="shared" ref="B8:G8" si="9">63081.4+1212.6</f>
        <v>64294</v>
      </c>
      <c r="C8" s="10">
        <f t="shared" si="9"/>
        <v>64294</v>
      </c>
      <c r="D8" s="10">
        <f t="shared" si="9"/>
        <v>64294</v>
      </c>
      <c r="E8" s="10">
        <f t="shared" si="9"/>
        <v>64294</v>
      </c>
      <c r="F8" s="10">
        <f t="shared" si="9"/>
        <v>64294</v>
      </c>
      <c r="G8" s="10">
        <f t="shared" si="9"/>
        <v>64294</v>
      </c>
      <c r="H8" s="10">
        <f>63081.4+1212.6</f>
        <v>64294</v>
      </c>
      <c r="I8" s="10">
        <f>63081.4+1212.6</f>
        <v>64294</v>
      </c>
      <c r="J8" s="10">
        <f>63081.4+1212.6</f>
        <v>64294</v>
      </c>
      <c r="K8" s="10">
        <f>70835.3+1212.6</f>
        <v>72047.900000000009</v>
      </c>
      <c r="L8" s="10">
        <f>70835.3+1212.6</f>
        <v>72047.900000000009</v>
      </c>
      <c r="M8" s="10">
        <f>70835.3+1212.6</f>
        <v>72047.900000000009</v>
      </c>
      <c r="N8" s="10">
        <f>SUM(B8:M8)</f>
        <v>794789.70000000007</v>
      </c>
    </row>
    <row r="9" spans="1:17" ht="24.75" hidden="1" customHeight="1" thickBot="1" x14ac:dyDescent="0.3">
      <c r="A9" s="3" t="s">
        <v>27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>
        <f t="shared" ref="N9:N12" si="10">SUM(B9:M9)</f>
        <v>0</v>
      </c>
    </row>
    <row r="10" spans="1:17" ht="24.75" customHeight="1" thickBot="1" x14ac:dyDescent="0.3">
      <c r="A10" s="3" t="s">
        <v>17</v>
      </c>
      <c r="B10" s="10">
        <v>2044.07</v>
      </c>
      <c r="C10" s="10">
        <v>342.04</v>
      </c>
      <c r="D10" s="10">
        <v>3344.67</v>
      </c>
      <c r="E10" s="10">
        <v>1693.89</v>
      </c>
      <c r="F10" s="10">
        <v>1389.66</v>
      </c>
      <c r="G10" s="10">
        <v>6578.18</v>
      </c>
      <c r="H10" s="10">
        <v>495.14</v>
      </c>
      <c r="I10" s="10">
        <v>1840.09</v>
      </c>
      <c r="J10" s="10">
        <v>3494.61</v>
      </c>
      <c r="K10" s="10">
        <v>3917.2</v>
      </c>
      <c r="L10" s="10">
        <v>0</v>
      </c>
      <c r="M10" s="10">
        <v>0</v>
      </c>
      <c r="N10" s="10">
        <f t="shared" si="10"/>
        <v>25139.550000000003</v>
      </c>
    </row>
    <row r="11" spans="1:17" ht="21.75" customHeight="1" thickBot="1" x14ac:dyDescent="0.3">
      <c r="A11" s="3" t="s">
        <v>18</v>
      </c>
      <c r="B11" s="10">
        <v>224.51</v>
      </c>
      <c r="C11" s="10">
        <v>224.51</v>
      </c>
      <c r="D11" s="10">
        <v>224.51</v>
      </c>
      <c r="E11" s="10">
        <v>224.51</v>
      </c>
      <c r="F11" s="10">
        <v>224.51</v>
      </c>
      <c r="G11" s="10">
        <v>224.51</v>
      </c>
      <c r="H11" s="10">
        <v>224.51</v>
      </c>
      <c r="I11" s="10">
        <v>238.27</v>
      </c>
      <c r="J11" s="10">
        <v>238.27</v>
      </c>
      <c r="K11" s="10">
        <v>238.27</v>
      </c>
      <c r="L11" s="10">
        <v>238.27</v>
      </c>
      <c r="M11" s="10">
        <v>238.27</v>
      </c>
      <c r="N11" s="10">
        <f t="shared" si="10"/>
        <v>2762.92</v>
      </c>
    </row>
    <row r="12" spans="1:17" ht="22.5" customHeight="1" thickBot="1" x14ac:dyDescent="0.3">
      <c r="A12" s="3" t="s">
        <v>19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1462.92</v>
      </c>
      <c r="H12" s="10">
        <v>2754.15</v>
      </c>
      <c r="I12" s="10">
        <v>895.45</v>
      </c>
      <c r="J12" s="10">
        <v>3415.47</v>
      </c>
      <c r="K12" s="10">
        <v>0</v>
      </c>
      <c r="L12" s="10">
        <v>0</v>
      </c>
      <c r="M12" s="10">
        <v>0</v>
      </c>
      <c r="N12" s="10">
        <f t="shared" si="10"/>
        <v>8527.99</v>
      </c>
    </row>
    <row r="13" spans="1:17" ht="22.5" customHeight="1" thickBot="1" x14ac:dyDescent="0.3">
      <c r="A13" s="3" t="s">
        <v>25</v>
      </c>
      <c r="B13" s="10">
        <v>321.11</v>
      </c>
      <c r="C13" s="10">
        <v>321.11</v>
      </c>
      <c r="D13" s="10">
        <v>321.11</v>
      </c>
      <c r="E13" s="10">
        <v>321.11</v>
      </c>
      <c r="F13" s="10">
        <v>321.11</v>
      </c>
      <c r="G13" s="10">
        <v>321.11</v>
      </c>
      <c r="H13" s="10">
        <v>326.79000000000002</v>
      </c>
      <c r="I13" s="10">
        <v>326.79000000000002</v>
      </c>
      <c r="J13" s="10">
        <v>326.79000000000002</v>
      </c>
      <c r="K13" s="10">
        <v>326.79000000000002</v>
      </c>
      <c r="L13" s="10">
        <v>326.79000000000002</v>
      </c>
      <c r="M13" s="10">
        <v>326.79000000000002</v>
      </c>
      <c r="N13" s="10">
        <f>SUM(B13:M13)</f>
        <v>3887.4</v>
      </c>
    </row>
    <row r="14" spans="1:17" ht="24" customHeight="1" thickBot="1" x14ac:dyDescent="0.3">
      <c r="A14" s="3" t="s">
        <v>15</v>
      </c>
      <c r="B14" s="10">
        <v>520</v>
      </c>
      <c r="C14" s="10">
        <v>520</v>
      </c>
      <c r="D14" s="10">
        <v>520</v>
      </c>
      <c r="E14" s="10">
        <v>470</v>
      </c>
      <c r="F14" s="10">
        <v>470</v>
      </c>
      <c r="G14" s="10">
        <v>470</v>
      </c>
      <c r="H14" s="10">
        <v>470</v>
      </c>
      <c r="I14" s="10">
        <v>470</v>
      </c>
      <c r="J14" s="10">
        <v>470</v>
      </c>
      <c r="K14" s="10">
        <v>470</v>
      </c>
      <c r="L14" s="10">
        <v>470</v>
      </c>
      <c r="M14" s="10">
        <v>470</v>
      </c>
      <c r="N14" s="10">
        <f>SUM(B14:M14)</f>
        <v>5790</v>
      </c>
    </row>
    <row r="15" spans="1:17" ht="20.25" customHeight="1" thickBot="1" x14ac:dyDescent="0.3">
      <c r="A15" s="11" t="s">
        <v>8</v>
      </c>
      <c r="B15" s="12">
        <f t="shared" ref="B15:M15" si="11">SUM(B16:B22)</f>
        <v>34784.839999999997</v>
      </c>
      <c r="C15" s="12">
        <f t="shared" si="11"/>
        <v>35794.970000000008</v>
      </c>
      <c r="D15" s="12">
        <f t="shared" si="11"/>
        <v>39062.78</v>
      </c>
      <c r="E15" s="12">
        <f t="shared" si="11"/>
        <v>43114.380000000005</v>
      </c>
      <c r="F15" s="12">
        <f t="shared" si="11"/>
        <v>35844.980000000003</v>
      </c>
      <c r="G15" s="12">
        <f t="shared" si="11"/>
        <v>39651.090000000004</v>
      </c>
      <c r="H15" s="12">
        <f>SUM(H16:H22)</f>
        <v>39408.05999999999</v>
      </c>
      <c r="I15" s="12">
        <f t="shared" si="11"/>
        <v>40320.830000000009</v>
      </c>
      <c r="J15" s="12">
        <f t="shared" si="11"/>
        <v>35768.57</v>
      </c>
      <c r="K15" s="12">
        <f t="shared" si="11"/>
        <v>41377.950000000004</v>
      </c>
      <c r="L15" s="12">
        <f t="shared" si="11"/>
        <v>37826.299999999996</v>
      </c>
      <c r="M15" s="12">
        <f t="shared" si="11"/>
        <v>53472.01</v>
      </c>
      <c r="N15" s="12">
        <f>SUM(B15:M15)</f>
        <v>476426.76</v>
      </c>
    </row>
    <row r="16" spans="1:17" ht="24" customHeight="1" thickBot="1" x14ac:dyDescent="0.3">
      <c r="A16" s="3" t="s">
        <v>41</v>
      </c>
      <c r="B16" s="10">
        <f>32013.85+1168.09</f>
        <v>33181.939999999995</v>
      </c>
      <c r="C16" s="10">
        <f>32961.23+981.44</f>
        <v>33942.670000000006</v>
      </c>
      <c r="D16" s="10">
        <f>36617.34+25.02+1215.59</f>
        <v>37857.94999999999</v>
      </c>
      <c r="E16" s="10">
        <f>39285.25+1192.93</f>
        <v>40478.18</v>
      </c>
      <c r="F16" s="10">
        <f>33310.8+918.76</f>
        <v>34229.560000000005</v>
      </c>
      <c r="G16" s="10">
        <f>36795.07+109.68+1135.3</f>
        <v>38040.050000000003</v>
      </c>
      <c r="H16" s="10">
        <f>33940.81+993.31</f>
        <v>34934.119999999995</v>
      </c>
      <c r="I16" s="10">
        <f>36412.22+1107.72</f>
        <v>37519.94</v>
      </c>
      <c r="J16" s="10">
        <f>32649.08-86.71+1070.2</f>
        <v>33632.57</v>
      </c>
      <c r="K16" s="10">
        <f>35533.39+981.74</f>
        <v>36515.129999999997</v>
      </c>
      <c r="L16" s="10">
        <f>34309.58+922.18</f>
        <v>35231.760000000002</v>
      </c>
      <c r="M16" s="10">
        <f>50497.33+1364.65</f>
        <v>51861.98</v>
      </c>
      <c r="N16" s="10">
        <f>SUM(B16:M16)</f>
        <v>447425.85</v>
      </c>
    </row>
    <row r="17" spans="1:15" ht="24" hidden="1" customHeight="1" thickBot="1" x14ac:dyDescent="0.3">
      <c r="A17" s="3" t="s">
        <v>27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>
        <f t="shared" ref="N17:N22" si="12">SUM(B17:M17)</f>
        <v>0</v>
      </c>
    </row>
    <row r="18" spans="1:15" ht="26.25" customHeight="1" thickBot="1" x14ac:dyDescent="0.3">
      <c r="A18" s="3" t="s">
        <v>17</v>
      </c>
      <c r="B18" s="10">
        <v>858.14</v>
      </c>
      <c r="C18" s="10">
        <v>1101.32</v>
      </c>
      <c r="D18" s="10">
        <v>295.73</v>
      </c>
      <c r="E18" s="10">
        <v>1896.46</v>
      </c>
      <c r="F18" s="10">
        <v>897.34</v>
      </c>
      <c r="G18" s="10">
        <v>873.16</v>
      </c>
      <c r="H18" s="10">
        <v>3131.78</v>
      </c>
      <c r="I18" s="10">
        <v>652.9</v>
      </c>
      <c r="J18" s="10">
        <v>964.35</v>
      </c>
      <c r="K18" s="10">
        <v>1905.96</v>
      </c>
      <c r="L18" s="10">
        <v>1880.95</v>
      </c>
      <c r="M18" s="10">
        <v>574.95000000000005</v>
      </c>
      <c r="N18" s="10">
        <f t="shared" si="12"/>
        <v>15033.04</v>
      </c>
    </row>
    <row r="19" spans="1:15" ht="26.25" customHeight="1" thickBot="1" x14ac:dyDescent="0.3">
      <c r="A19" s="3" t="s">
        <v>18</v>
      </c>
      <c r="B19" s="10">
        <v>114.57</v>
      </c>
      <c r="C19" s="10">
        <v>117.96</v>
      </c>
      <c r="D19" s="10">
        <v>130.36000000000001</v>
      </c>
      <c r="E19" s="10">
        <v>139.80000000000001</v>
      </c>
      <c r="F19" s="10">
        <v>112.43</v>
      </c>
      <c r="G19" s="10">
        <v>136.53</v>
      </c>
      <c r="H19" s="10">
        <v>120.6</v>
      </c>
      <c r="I19" s="10">
        <v>129.51</v>
      </c>
      <c r="J19" s="10">
        <v>122.7</v>
      </c>
      <c r="K19" s="10">
        <v>133.76</v>
      </c>
      <c r="L19" s="10">
        <v>115.86</v>
      </c>
      <c r="M19" s="10">
        <v>172.4</v>
      </c>
      <c r="N19" s="10">
        <f t="shared" si="12"/>
        <v>1546.48</v>
      </c>
    </row>
    <row r="20" spans="1:15" ht="24" customHeight="1" thickBot="1" x14ac:dyDescent="0.3">
      <c r="A20" s="3" t="s">
        <v>19</v>
      </c>
      <c r="B20" s="10">
        <v>15.44</v>
      </c>
      <c r="C20" s="10">
        <v>14.22</v>
      </c>
      <c r="D20" s="10">
        <v>2.2599999999999998</v>
      </c>
      <c r="E20" s="10">
        <v>0</v>
      </c>
      <c r="F20" s="10">
        <v>45.68</v>
      </c>
      <c r="G20" s="10">
        <v>6.06</v>
      </c>
      <c r="H20" s="10">
        <v>648.79</v>
      </c>
      <c r="I20" s="10">
        <v>1430.43</v>
      </c>
      <c r="J20" s="10">
        <v>480.23</v>
      </c>
      <c r="K20" s="10">
        <v>1748.8</v>
      </c>
      <c r="L20" s="10">
        <v>38.78</v>
      </c>
      <c r="M20" s="10">
        <v>225.39</v>
      </c>
      <c r="N20" s="10">
        <f t="shared" si="12"/>
        <v>4656.08</v>
      </c>
    </row>
    <row r="21" spans="1:15" ht="24" customHeight="1" thickBot="1" x14ac:dyDescent="0.3">
      <c r="A21" s="3" t="s">
        <v>25</v>
      </c>
      <c r="B21" s="10">
        <v>164.75</v>
      </c>
      <c r="C21" s="10">
        <v>168.8</v>
      </c>
      <c r="D21" s="10">
        <v>186.48</v>
      </c>
      <c r="E21" s="10">
        <v>199.94</v>
      </c>
      <c r="F21" s="10">
        <v>159.97</v>
      </c>
      <c r="G21" s="10">
        <v>195.29</v>
      </c>
      <c r="H21" s="10">
        <v>172.77</v>
      </c>
      <c r="I21" s="10">
        <v>188.05</v>
      </c>
      <c r="J21" s="10">
        <v>168.72</v>
      </c>
      <c r="K21" s="10">
        <v>184.3</v>
      </c>
      <c r="L21" s="10">
        <v>158.94999999999999</v>
      </c>
      <c r="M21" s="10">
        <v>237.29</v>
      </c>
      <c r="N21" s="10">
        <f t="shared" si="12"/>
        <v>2185.31</v>
      </c>
    </row>
    <row r="22" spans="1:15" ht="21" customHeight="1" thickBot="1" x14ac:dyDescent="0.3">
      <c r="A22" s="3" t="s">
        <v>15</v>
      </c>
      <c r="B22" s="13">
        <v>450</v>
      </c>
      <c r="C22" s="13">
        <v>450</v>
      </c>
      <c r="D22" s="13">
        <v>590</v>
      </c>
      <c r="E22" s="13">
        <v>400</v>
      </c>
      <c r="F22" s="13">
        <v>400</v>
      </c>
      <c r="G22" s="13">
        <v>400</v>
      </c>
      <c r="H22" s="13">
        <v>400</v>
      </c>
      <c r="I22" s="13">
        <v>400</v>
      </c>
      <c r="J22" s="13">
        <v>400</v>
      </c>
      <c r="K22" s="10">
        <v>890</v>
      </c>
      <c r="L22" s="10">
        <v>400</v>
      </c>
      <c r="M22" s="10">
        <v>400</v>
      </c>
      <c r="N22" s="10">
        <f t="shared" si="12"/>
        <v>5580</v>
      </c>
      <c r="O22" s="2"/>
    </row>
    <row r="23" spans="1:15" ht="21.75" customHeight="1" thickBot="1" x14ac:dyDescent="0.3">
      <c r="A23" s="14" t="s">
        <v>24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6"/>
    </row>
    <row r="24" spans="1:15" ht="24" customHeight="1" thickBot="1" x14ac:dyDescent="0.3">
      <c r="A24" s="3" t="s">
        <v>1</v>
      </c>
      <c r="B24" s="10">
        <f t="shared" ref="B24:F24" si="13">4038.5*0.55</f>
        <v>2221.1750000000002</v>
      </c>
      <c r="C24" s="10">
        <f t="shared" si="13"/>
        <v>2221.1750000000002</v>
      </c>
      <c r="D24" s="10">
        <f t="shared" si="13"/>
        <v>2221.1750000000002</v>
      </c>
      <c r="E24" s="10">
        <f t="shared" si="13"/>
        <v>2221.1750000000002</v>
      </c>
      <c r="F24" s="10">
        <f t="shared" si="13"/>
        <v>2221.1750000000002</v>
      </c>
      <c r="G24" s="10">
        <f>4038.5*0.55</f>
        <v>2221.1750000000002</v>
      </c>
      <c r="H24" s="10">
        <f t="shared" ref="H24:M24" si="14">4038.5*0.55</f>
        <v>2221.1750000000002</v>
      </c>
      <c r="I24" s="10">
        <f t="shared" si="14"/>
        <v>2221.1750000000002</v>
      </c>
      <c r="J24" s="10">
        <f t="shared" si="14"/>
        <v>2221.1750000000002</v>
      </c>
      <c r="K24" s="10">
        <f t="shared" si="14"/>
        <v>2221.1750000000002</v>
      </c>
      <c r="L24" s="10">
        <f t="shared" si="14"/>
        <v>2221.1750000000002</v>
      </c>
      <c r="M24" s="10">
        <f t="shared" si="14"/>
        <v>2221.1750000000002</v>
      </c>
      <c r="N24" s="10">
        <f>SUM(B24:M24)</f>
        <v>26654.099999999995</v>
      </c>
    </row>
    <row r="25" spans="1:15" ht="24.6" customHeight="1" thickBot="1" x14ac:dyDescent="0.3">
      <c r="A25" s="3" t="s">
        <v>2</v>
      </c>
      <c r="B25" s="10">
        <f t="shared" ref="B25:M25" si="15">4038.5*0.17</f>
        <v>686.54500000000007</v>
      </c>
      <c r="C25" s="10">
        <f t="shared" si="15"/>
        <v>686.54500000000007</v>
      </c>
      <c r="D25" s="10">
        <f t="shared" si="15"/>
        <v>686.54500000000007</v>
      </c>
      <c r="E25" s="10">
        <f t="shared" si="15"/>
        <v>686.54500000000007</v>
      </c>
      <c r="F25" s="10">
        <f t="shared" si="15"/>
        <v>686.54500000000007</v>
      </c>
      <c r="G25" s="10">
        <f t="shared" si="15"/>
        <v>686.54500000000007</v>
      </c>
      <c r="H25" s="10">
        <f t="shared" si="15"/>
        <v>686.54500000000007</v>
      </c>
      <c r="I25" s="10">
        <f t="shared" si="15"/>
        <v>686.54500000000007</v>
      </c>
      <c r="J25" s="10">
        <f t="shared" si="15"/>
        <v>686.54500000000007</v>
      </c>
      <c r="K25" s="10">
        <f t="shared" si="15"/>
        <v>686.54500000000007</v>
      </c>
      <c r="L25" s="10">
        <f t="shared" si="15"/>
        <v>686.54500000000007</v>
      </c>
      <c r="M25" s="10">
        <f t="shared" si="15"/>
        <v>686.54500000000007</v>
      </c>
      <c r="N25" s="10">
        <f t="shared" ref="N25:N36" si="16">SUM(B25:M25)</f>
        <v>8238.5400000000009</v>
      </c>
    </row>
    <row r="26" spans="1:15" ht="21" customHeight="1" thickBot="1" x14ac:dyDescent="0.3">
      <c r="A26" s="3" t="s">
        <v>3</v>
      </c>
      <c r="B26" s="10">
        <f>66883.69*2.3%</f>
        <v>1538.3248699999999</v>
      </c>
      <c r="C26" s="10">
        <f>65181.66*2.3%</f>
        <v>1499.1781800000001</v>
      </c>
      <c r="D26" s="10">
        <f>68184.29*2.3%</f>
        <v>1568.2386699999997</v>
      </c>
      <c r="E26" s="10">
        <f>66533.51*2.3%</f>
        <v>1530.27073</v>
      </c>
      <c r="F26" s="10">
        <f>66229.28*2.3%</f>
        <v>1523.2734399999999</v>
      </c>
      <c r="G26" s="10">
        <f>72880.72*2.3%</f>
        <v>1676.25656</v>
      </c>
      <c r="H26" s="10">
        <f>68094.59*2.3%</f>
        <v>1566.1755699999999</v>
      </c>
      <c r="I26" s="10">
        <f>67594.6*2.3%</f>
        <v>1554.6758000000002</v>
      </c>
      <c r="J26" s="10">
        <f>71769.14*2.3%</f>
        <v>1650.69022</v>
      </c>
      <c r="K26" s="10">
        <f>76530.16*2.3%</f>
        <v>1760.1936800000001</v>
      </c>
      <c r="L26" s="10">
        <f>72612.96*2.3%</f>
        <v>1670.0980800000002</v>
      </c>
      <c r="M26" s="10">
        <f>72612.96*2.3%</f>
        <v>1670.0980800000002</v>
      </c>
      <c r="N26" s="10">
        <f t="shared" si="16"/>
        <v>19207.473880000001</v>
      </c>
    </row>
    <row r="27" spans="1:15" ht="23.25" customHeight="1" thickBot="1" x14ac:dyDescent="0.3">
      <c r="A27" s="3" t="s">
        <v>4</v>
      </c>
      <c r="B27" s="10">
        <f>34334.84*3%</f>
        <v>1030.0451999999998</v>
      </c>
      <c r="C27" s="10">
        <f>35344.97*3%</f>
        <v>1060.3490999999999</v>
      </c>
      <c r="D27" s="10">
        <f>38472.78*3%</f>
        <v>1154.1833999999999</v>
      </c>
      <c r="E27" s="10">
        <f>42714.38*3%</f>
        <v>1281.4313999999999</v>
      </c>
      <c r="F27" s="10">
        <f>35444.98*3%</f>
        <v>1063.3494000000001</v>
      </c>
      <c r="G27" s="10">
        <f>39251.09*3%</f>
        <v>1177.5326999999997</v>
      </c>
      <c r="H27" s="10">
        <f>39008.06*3%</f>
        <v>1170.2417999999998</v>
      </c>
      <c r="I27" s="10">
        <f>39920.83*3%</f>
        <v>1197.6249</v>
      </c>
      <c r="J27" s="10">
        <f>35368.57*3%</f>
        <v>1061.0571</v>
      </c>
      <c r="K27" s="10">
        <f>40487.95*3%</f>
        <v>1214.6384999999998</v>
      </c>
      <c r="L27" s="10">
        <f>37426.3*3%</f>
        <v>1122.789</v>
      </c>
      <c r="M27" s="10">
        <f>53072.01*3%</f>
        <v>1592.1603</v>
      </c>
      <c r="N27" s="10">
        <f t="shared" si="16"/>
        <v>14125.402799999998</v>
      </c>
    </row>
    <row r="28" spans="1:15" ht="23.25" customHeight="1" thickBot="1" x14ac:dyDescent="0.3">
      <c r="A28" s="3" t="s">
        <v>9</v>
      </c>
      <c r="B28" s="10">
        <v>29884.9</v>
      </c>
      <c r="C28" s="10">
        <v>29884.9</v>
      </c>
      <c r="D28" s="10">
        <v>29884.9</v>
      </c>
      <c r="E28" s="10">
        <v>29884.9</v>
      </c>
      <c r="F28" s="10">
        <v>29884.9</v>
      </c>
      <c r="G28" s="10">
        <v>29884.9</v>
      </c>
      <c r="H28" s="10">
        <v>29884.9</v>
      </c>
      <c r="I28" s="10">
        <v>29884.9</v>
      </c>
      <c r="J28" s="10">
        <v>29884.9</v>
      </c>
      <c r="K28" s="20">
        <f>4038.5*8.5</f>
        <v>34327.25</v>
      </c>
      <c r="L28" s="20">
        <f t="shared" ref="L28:M28" si="17">4038.5*8.5</f>
        <v>34327.25</v>
      </c>
      <c r="M28" s="20">
        <f t="shared" si="17"/>
        <v>34327.25</v>
      </c>
      <c r="N28" s="10">
        <f t="shared" si="16"/>
        <v>371945.85</v>
      </c>
    </row>
    <row r="29" spans="1:15" ht="26.25" customHeight="1" thickBot="1" x14ac:dyDescent="0.3">
      <c r="A29" s="3" t="s">
        <v>20</v>
      </c>
      <c r="B29" s="10">
        <f>301.08+40.96</f>
        <v>342.03999999999996</v>
      </c>
      <c r="C29" s="10">
        <f>2944.49+400.25</f>
        <v>3344.74</v>
      </c>
      <c r="D29" s="10">
        <f>1491.22+202.72</f>
        <v>1693.94</v>
      </c>
      <c r="E29" s="10">
        <f>1223.39+166.31</f>
        <v>1389.7</v>
      </c>
      <c r="F29" s="10">
        <f>5803.93+774.26</f>
        <v>6578.1900000000005</v>
      </c>
      <c r="G29" s="10">
        <f>427.72+67.39</f>
        <v>495.11</v>
      </c>
      <c r="H29" s="10">
        <f>1614.88+225.24</f>
        <v>1840.1200000000001</v>
      </c>
      <c r="I29" s="10">
        <f>3066.8+427.82</f>
        <v>3494.6200000000003</v>
      </c>
      <c r="J29" s="10">
        <f>3437.65+479.62</f>
        <v>3917.27</v>
      </c>
      <c r="K29" s="10">
        <v>0</v>
      </c>
      <c r="L29" s="10">
        <v>0</v>
      </c>
      <c r="M29" s="10">
        <v>0</v>
      </c>
      <c r="N29" s="10">
        <f t="shared" si="16"/>
        <v>23095.730000000003</v>
      </c>
    </row>
    <row r="30" spans="1:15" ht="26.25" customHeight="1" thickBot="1" x14ac:dyDescent="0.3">
      <c r="A30" s="3" t="s">
        <v>21</v>
      </c>
      <c r="B30" s="10">
        <v>224.53</v>
      </c>
      <c r="C30" s="10">
        <v>224.53</v>
      </c>
      <c r="D30" s="10">
        <v>224.53</v>
      </c>
      <c r="E30" s="10">
        <v>224.53</v>
      </c>
      <c r="F30" s="10">
        <v>224.53</v>
      </c>
      <c r="G30" s="10">
        <v>224.53</v>
      </c>
      <c r="H30" s="10">
        <v>238.34</v>
      </c>
      <c r="I30" s="10">
        <v>238.34</v>
      </c>
      <c r="J30" s="10">
        <v>238.34</v>
      </c>
      <c r="K30" s="10">
        <v>238.34</v>
      </c>
      <c r="L30" s="10">
        <v>238.34</v>
      </c>
      <c r="M30" s="10">
        <v>238.34</v>
      </c>
      <c r="N30" s="10">
        <f t="shared" si="16"/>
        <v>2777.2200000000003</v>
      </c>
    </row>
    <row r="31" spans="1:15" ht="26.25" customHeight="1" thickBot="1" x14ac:dyDescent="0.3">
      <c r="A31" s="3" t="s">
        <v>22</v>
      </c>
      <c r="B31" s="10">
        <v>0</v>
      </c>
      <c r="C31" s="10">
        <v>0</v>
      </c>
      <c r="D31" s="10">
        <v>0</v>
      </c>
      <c r="E31" s="10">
        <v>0</v>
      </c>
      <c r="F31" s="10">
        <v>1462.89</v>
      </c>
      <c r="G31" s="10">
        <v>2754.18</v>
      </c>
      <c r="H31" s="10">
        <v>895.51</v>
      </c>
      <c r="I31" s="10">
        <v>3415.5</v>
      </c>
      <c r="J31" s="10">
        <v>0</v>
      </c>
      <c r="K31" s="10">
        <v>0</v>
      </c>
      <c r="L31" s="10">
        <v>0</v>
      </c>
      <c r="M31" s="10">
        <v>0</v>
      </c>
      <c r="N31" s="10">
        <f t="shared" si="16"/>
        <v>8528.08</v>
      </c>
    </row>
    <row r="32" spans="1:15" ht="26.25" customHeight="1" thickBot="1" x14ac:dyDescent="0.3">
      <c r="A32" s="3" t="s">
        <v>25</v>
      </c>
      <c r="B32" s="10">
        <v>321.06</v>
      </c>
      <c r="C32" s="10">
        <v>321.06</v>
      </c>
      <c r="D32" s="10">
        <v>321.06</v>
      </c>
      <c r="E32" s="10">
        <v>321.06</v>
      </c>
      <c r="F32" s="10">
        <v>321.06</v>
      </c>
      <c r="G32" s="10">
        <v>321.06</v>
      </c>
      <c r="H32" s="10">
        <v>326.81</v>
      </c>
      <c r="I32" s="10">
        <v>326.81</v>
      </c>
      <c r="J32" s="10">
        <v>326.81</v>
      </c>
      <c r="K32" s="10">
        <v>326.81</v>
      </c>
      <c r="L32" s="10">
        <v>326.81</v>
      </c>
      <c r="M32" s="10">
        <v>326.81</v>
      </c>
      <c r="N32" s="10">
        <f t="shared" si="16"/>
        <v>3887.22</v>
      </c>
    </row>
    <row r="33" spans="1:14" ht="22.5" customHeight="1" thickBot="1" x14ac:dyDescent="0.3">
      <c r="A33" s="3" t="s">
        <v>6</v>
      </c>
      <c r="B33" s="10">
        <f>4038.5*2.34</f>
        <v>9450.09</v>
      </c>
      <c r="C33" s="10">
        <f t="shared" ref="C33:J33" si="18">4038.5*2.34</f>
        <v>9450.09</v>
      </c>
      <c r="D33" s="10">
        <f t="shared" si="18"/>
        <v>9450.09</v>
      </c>
      <c r="E33" s="10">
        <f t="shared" si="18"/>
        <v>9450.09</v>
      </c>
      <c r="F33" s="10">
        <f t="shared" si="18"/>
        <v>9450.09</v>
      </c>
      <c r="G33" s="10">
        <f t="shared" si="18"/>
        <v>9450.09</v>
      </c>
      <c r="H33" s="10">
        <f t="shared" si="18"/>
        <v>9450.09</v>
      </c>
      <c r="I33" s="10">
        <f t="shared" si="18"/>
        <v>9450.09</v>
      </c>
      <c r="J33" s="10">
        <f t="shared" si="18"/>
        <v>9450.09</v>
      </c>
      <c r="K33" s="10">
        <f>4038.5*2.63</f>
        <v>10621.254999999999</v>
      </c>
      <c r="L33" s="10">
        <f t="shared" ref="L33:M33" si="19">4038.5*2.63</f>
        <v>10621.254999999999</v>
      </c>
      <c r="M33" s="10">
        <f t="shared" si="19"/>
        <v>10621.254999999999</v>
      </c>
      <c r="N33" s="10">
        <f t="shared" si="16"/>
        <v>116914.575</v>
      </c>
    </row>
    <row r="34" spans="1:14" ht="21.75" customHeight="1" thickBot="1" x14ac:dyDescent="0.3">
      <c r="A34" s="3" t="s">
        <v>42</v>
      </c>
      <c r="B34" s="10">
        <v>2000</v>
      </c>
      <c r="C34" s="10">
        <v>2000</v>
      </c>
      <c r="D34" s="10">
        <v>2000</v>
      </c>
      <c r="E34" s="10">
        <v>2000</v>
      </c>
      <c r="F34" s="10">
        <v>2000</v>
      </c>
      <c r="G34" s="10">
        <v>2000</v>
      </c>
      <c r="H34" s="10">
        <v>2000</v>
      </c>
      <c r="I34" s="10">
        <v>2000</v>
      </c>
      <c r="J34" s="10">
        <v>2000</v>
      </c>
      <c r="K34" s="10">
        <v>2000</v>
      </c>
      <c r="L34" s="10">
        <v>2000</v>
      </c>
      <c r="M34" s="10">
        <v>2000</v>
      </c>
      <c r="N34" s="10">
        <f t="shared" si="16"/>
        <v>24000</v>
      </c>
    </row>
    <row r="35" spans="1:14" ht="21.75" customHeight="1" thickBot="1" x14ac:dyDescent="0.3">
      <c r="A35" s="3" t="s">
        <v>26</v>
      </c>
      <c r="B35" s="10">
        <v>1140</v>
      </c>
      <c r="C35" s="10">
        <v>1140</v>
      </c>
      <c r="D35" s="10">
        <v>1140</v>
      </c>
      <c r="E35" s="10">
        <v>1140</v>
      </c>
      <c r="F35" s="10">
        <v>1140</v>
      </c>
      <c r="G35" s="10">
        <v>1140</v>
      </c>
      <c r="H35" s="10">
        <f>1140</f>
        <v>1140</v>
      </c>
      <c r="I35" s="10">
        <f>1140</f>
        <v>1140</v>
      </c>
      <c r="J35" s="10">
        <f>1140</f>
        <v>1140</v>
      </c>
      <c r="K35" s="10">
        <f>1140</f>
        <v>1140</v>
      </c>
      <c r="L35" s="10">
        <f>1140</f>
        <v>1140</v>
      </c>
      <c r="M35" s="10">
        <f>1140</f>
        <v>1140</v>
      </c>
      <c r="N35" s="10">
        <f t="shared" si="16"/>
        <v>13680</v>
      </c>
    </row>
    <row r="36" spans="1:14" ht="21" customHeight="1" thickBot="1" x14ac:dyDescent="0.3">
      <c r="A36" s="3" t="s">
        <v>14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11133.07</v>
      </c>
      <c r="K36" s="10">
        <v>0</v>
      </c>
      <c r="L36" s="10">
        <v>0</v>
      </c>
      <c r="M36" s="10">
        <v>0</v>
      </c>
      <c r="N36" s="10">
        <f t="shared" si="16"/>
        <v>11133.07</v>
      </c>
    </row>
    <row r="37" spans="1:14" ht="24" customHeight="1" thickBot="1" x14ac:dyDescent="0.3">
      <c r="A37" s="3" t="s">
        <v>10</v>
      </c>
      <c r="B37" s="10">
        <v>0</v>
      </c>
      <c r="C37" s="10">
        <v>0</v>
      </c>
      <c r="D37" s="10">
        <f>537.8</f>
        <v>537.79999999999995</v>
      </c>
      <c r="E37" s="10">
        <f>1888.6+568.9+1650</f>
        <v>4107.5</v>
      </c>
      <c r="F37" s="10">
        <f>69100</f>
        <v>69100</v>
      </c>
      <c r="G37" s="10">
        <f>28500</f>
        <v>28500</v>
      </c>
      <c r="H37" s="10">
        <v>0</v>
      </c>
      <c r="I37" s="10">
        <v>0</v>
      </c>
      <c r="J37" s="10">
        <f>4450+1824.2+36412.1+655.9+655.9+15677.02+5994</f>
        <v>65669.119999999995</v>
      </c>
      <c r="K37" s="10">
        <f>105+65+2760.8+31436</f>
        <v>34366.800000000003</v>
      </c>
      <c r="L37" s="10">
        <f>15315.32</f>
        <v>15315.32</v>
      </c>
      <c r="M37" s="10">
        <f>1025.5</f>
        <v>1025.5</v>
      </c>
      <c r="N37" s="10">
        <f>SUM(B37:M37)</f>
        <v>218622.03999999998</v>
      </c>
    </row>
    <row r="38" spans="1:14" ht="22.5" customHeight="1" thickBot="1" x14ac:dyDescent="0.3">
      <c r="A38" s="8" t="s">
        <v>23</v>
      </c>
      <c r="B38" s="9">
        <f t="shared" ref="B38:M38" si="20">SUM(B24:B37)</f>
        <v>48838.710070000001</v>
      </c>
      <c r="C38" s="9">
        <f t="shared" si="20"/>
        <v>51832.567280000003</v>
      </c>
      <c r="D38" s="9">
        <f t="shared" si="20"/>
        <v>50882.462070000009</v>
      </c>
      <c r="E38" s="9">
        <f t="shared" si="20"/>
        <v>54237.202129999991</v>
      </c>
      <c r="F38" s="9">
        <f t="shared" si="20"/>
        <v>125656.00284</v>
      </c>
      <c r="G38" s="9">
        <f t="shared" si="20"/>
        <v>80531.379260000002</v>
      </c>
      <c r="H38" s="9">
        <f t="shared" si="20"/>
        <v>51419.907370000001</v>
      </c>
      <c r="I38" s="9">
        <f t="shared" si="20"/>
        <v>55610.280700000003</v>
      </c>
      <c r="J38" s="9">
        <f t="shared" si="20"/>
        <v>129379.06732</v>
      </c>
      <c r="K38" s="9">
        <f t="shared" si="20"/>
        <v>88903.007179999986</v>
      </c>
      <c r="L38" s="9">
        <f t="shared" si="20"/>
        <v>69669.582079999993</v>
      </c>
      <c r="M38" s="9">
        <f t="shared" si="20"/>
        <v>55849.133379999992</v>
      </c>
      <c r="N38" s="9">
        <f>SUM(B38:M38)</f>
        <v>862809.30167999992</v>
      </c>
    </row>
    <row r="39" spans="1:14" ht="23.25" customHeight="1" thickBot="1" x14ac:dyDescent="0.3">
      <c r="A39" s="3" t="s">
        <v>5</v>
      </c>
      <c r="B39" s="17">
        <f t="shared" ref="B39:N39" si="21">B15-B38</f>
        <v>-14053.870070000004</v>
      </c>
      <c r="C39" s="17">
        <f t="shared" si="21"/>
        <v>-16037.597279999994</v>
      </c>
      <c r="D39" s="17">
        <f t="shared" si="21"/>
        <v>-11819.68207000001</v>
      </c>
      <c r="E39" s="17">
        <f t="shared" si="21"/>
        <v>-11122.822129999986</v>
      </c>
      <c r="F39" s="17">
        <f t="shared" si="21"/>
        <v>-89811.022839999991</v>
      </c>
      <c r="G39" s="17">
        <f t="shared" si="21"/>
        <v>-40880.289259999998</v>
      </c>
      <c r="H39" s="17">
        <f t="shared" si="21"/>
        <v>-12011.84737000001</v>
      </c>
      <c r="I39" s="17">
        <f t="shared" si="21"/>
        <v>-15289.450699999994</v>
      </c>
      <c r="J39" s="17">
        <f t="shared" si="21"/>
        <v>-93610.497319999995</v>
      </c>
      <c r="K39" s="17">
        <f t="shared" si="21"/>
        <v>-47525.057179999982</v>
      </c>
      <c r="L39" s="17">
        <f t="shared" si="21"/>
        <v>-31843.282079999997</v>
      </c>
      <c r="M39" s="17">
        <f t="shared" si="21"/>
        <v>-2377.12337999999</v>
      </c>
      <c r="N39" s="17">
        <f t="shared" si="21"/>
        <v>-386382.54167999991</v>
      </c>
    </row>
    <row r="40" spans="1:14" ht="23.25" customHeight="1" thickBot="1" x14ac:dyDescent="0.3">
      <c r="A40" s="3" t="s">
        <v>7</v>
      </c>
      <c r="B40" s="13">
        <f t="shared" ref="B40:N40" si="22">B5+B39</f>
        <v>-601853.30007000011</v>
      </c>
      <c r="C40" s="13">
        <f t="shared" si="22"/>
        <v>-617890.8973500001</v>
      </c>
      <c r="D40" s="13">
        <f t="shared" si="22"/>
        <v>-629710.57942000008</v>
      </c>
      <c r="E40" s="13">
        <f t="shared" si="22"/>
        <v>-640833.40155000007</v>
      </c>
      <c r="F40" s="13">
        <f t="shared" si="22"/>
        <v>-730644.42439000006</v>
      </c>
      <c r="G40" s="13">
        <f t="shared" si="22"/>
        <v>-771524.71365000005</v>
      </c>
      <c r="H40" s="13">
        <f t="shared" si="22"/>
        <v>-783536.56102000002</v>
      </c>
      <c r="I40" s="13">
        <f t="shared" si="22"/>
        <v>-798826.01172000007</v>
      </c>
      <c r="J40" s="13">
        <f t="shared" si="22"/>
        <v>-892436.50904000003</v>
      </c>
      <c r="K40" s="13">
        <f t="shared" si="22"/>
        <v>-939961.56622000004</v>
      </c>
      <c r="L40" s="13">
        <f t="shared" si="22"/>
        <v>-971804.84830000007</v>
      </c>
      <c r="M40" s="13">
        <f t="shared" si="22"/>
        <v>-974181.97168000008</v>
      </c>
      <c r="N40" s="13">
        <f t="shared" si="22"/>
        <v>-974181.97167999996</v>
      </c>
    </row>
    <row r="41" spans="1:14" ht="27" customHeight="1" thickBot="1" x14ac:dyDescent="0.3">
      <c r="A41" s="14" t="s">
        <v>11</v>
      </c>
      <c r="B41" s="18">
        <f t="shared" ref="B41:N41" si="23">B6+B15-B7</f>
        <v>-393980.50999999995</v>
      </c>
      <c r="C41" s="18">
        <f t="shared" si="23"/>
        <v>-423887.19999999995</v>
      </c>
      <c r="D41" s="18">
        <f t="shared" si="23"/>
        <v>-453528.7099999999</v>
      </c>
      <c r="E41" s="18">
        <f t="shared" si="23"/>
        <v>-477417.83999999991</v>
      </c>
      <c r="F41" s="18">
        <f t="shared" si="23"/>
        <v>-508272.1399999999</v>
      </c>
      <c r="G41" s="18">
        <f t="shared" si="23"/>
        <v>-541971.7699999999</v>
      </c>
      <c r="H41" s="18">
        <f t="shared" si="23"/>
        <v>-571128.29999999993</v>
      </c>
      <c r="I41" s="18">
        <f t="shared" si="23"/>
        <v>-598872.06999999995</v>
      </c>
      <c r="J41" s="18">
        <f t="shared" si="23"/>
        <v>-635342.64</v>
      </c>
      <c r="K41" s="18">
        <f t="shared" si="23"/>
        <v>-670964.85000000009</v>
      </c>
      <c r="L41" s="18">
        <f t="shared" si="23"/>
        <v>-706221.51</v>
      </c>
      <c r="M41" s="18">
        <f t="shared" si="23"/>
        <v>-725832.46</v>
      </c>
      <c r="N41" s="18">
        <f t="shared" si="23"/>
        <v>-725832.46</v>
      </c>
    </row>
  </sheetData>
  <mergeCells count="1">
    <mergeCell ref="A1:N1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2022-03-21T02:15:59Z</cp:lastPrinted>
  <dcterms:created xsi:type="dcterms:W3CDTF">2011-06-06T03:25:48Z</dcterms:created>
  <dcterms:modified xsi:type="dcterms:W3CDTF">2022-03-21T02:18:38Z</dcterms:modified>
</cp:coreProperties>
</file>