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N27" i="1" l="1"/>
  <c r="N28" i="1"/>
  <c r="N29" i="1"/>
  <c r="N30" i="1"/>
  <c r="N31" i="1"/>
  <c r="N32" i="1"/>
  <c r="N33" i="1"/>
  <c r="N34" i="1"/>
  <c r="N35" i="1"/>
  <c r="N36" i="1"/>
  <c r="N37" i="1"/>
  <c r="N38" i="1"/>
  <c r="N39" i="1"/>
  <c r="N26" i="1"/>
  <c r="N17" i="1"/>
  <c r="M13" i="1" l="1"/>
  <c r="M12" i="1"/>
  <c r="M11" i="1"/>
  <c r="M14" i="1"/>
  <c r="L13" i="1"/>
  <c r="L12" i="1"/>
  <c r="L11" i="1"/>
  <c r="L14" i="1"/>
  <c r="K22" i="1"/>
  <c r="K19" i="1"/>
  <c r="K21" i="1"/>
  <c r="K20" i="1"/>
  <c r="K23" i="1"/>
  <c r="K13" i="1"/>
  <c r="K10" i="1"/>
  <c r="K14" i="1"/>
  <c r="L39" i="1" l="1"/>
  <c r="M37" i="1" l="1"/>
  <c r="L37" i="1" l="1"/>
  <c r="K37" i="1" l="1"/>
  <c r="K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C40" i="1" l="1"/>
  <c r="D40" i="1"/>
  <c r="E40" i="1"/>
  <c r="F40" i="1"/>
  <c r="G40" i="1"/>
  <c r="H40" i="1"/>
  <c r="I40" i="1"/>
  <c r="J40" i="1"/>
  <c r="B40" i="1"/>
  <c r="N18" i="1"/>
  <c r="N19" i="1"/>
  <c r="N20" i="1"/>
  <c r="N21" i="1"/>
  <c r="N22" i="1"/>
  <c r="N23" i="1"/>
  <c r="N24" i="1"/>
  <c r="N9" i="1"/>
  <c r="N10" i="1"/>
  <c r="N11" i="1"/>
  <c r="N12" i="1"/>
  <c r="N13" i="1"/>
  <c r="N14" i="1"/>
  <c r="N15" i="1"/>
  <c r="N8" i="1"/>
  <c r="J13" i="1" l="1"/>
  <c r="J12" i="1"/>
  <c r="J11" i="1"/>
  <c r="J14" i="1"/>
  <c r="I13" i="1"/>
  <c r="I10" i="1"/>
  <c r="I12" i="1"/>
  <c r="I11" i="1"/>
  <c r="I14" i="1"/>
  <c r="H13" i="1"/>
  <c r="H22" i="1"/>
  <c r="H19" i="1"/>
  <c r="H23" i="1"/>
  <c r="H10" i="1"/>
  <c r="H11" i="1"/>
  <c r="H14" i="1"/>
  <c r="J35" i="1" l="1"/>
  <c r="I35" i="1"/>
  <c r="C35" i="1"/>
  <c r="D35" i="1"/>
  <c r="E35" i="1"/>
  <c r="F35" i="1"/>
  <c r="G35" i="1"/>
  <c r="H35" i="1"/>
  <c r="B35" i="1"/>
  <c r="I39" i="1" l="1"/>
  <c r="J31" i="1" l="1"/>
  <c r="H31" i="1"/>
  <c r="J37" i="1" l="1"/>
  <c r="I37" i="1" l="1"/>
  <c r="J30" i="1" l="1"/>
  <c r="I30" i="1"/>
  <c r="J29" i="1" l="1"/>
  <c r="J17" i="1"/>
  <c r="J28" i="1"/>
  <c r="J8" i="1"/>
  <c r="H39" i="1" l="1"/>
  <c r="I29" i="1" l="1"/>
  <c r="I17" i="1"/>
  <c r="I28" i="1"/>
  <c r="I8" i="1"/>
  <c r="H29" i="1" l="1"/>
  <c r="H17" i="1"/>
  <c r="H28" i="1"/>
  <c r="H8" i="1"/>
  <c r="H27" i="1" l="1"/>
  <c r="I27" i="1"/>
  <c r="J27" i="1"/>
  <c r="H26" i="1"/>
  <c r="I26" i="1"/>
  <c r="J26" i="1"/>
  <c r="G39" i="1" l="1"/>
  <c r="B17" i="1" l="1"/>
  <c r="B16" i="1" s="1"/>
  <c r="D39" i="1" l="1"/>
  <c r="E39" i="1"/>
  <c r="F39" i="1" l="1"/>
  <c r="G31" i="1" l="1"/>
  <c r="F31" i="1"/>
  <c r="E31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27" i="1" l="1"/>
  <c r="F27" i="1"/>
  <c r="G27" i="1"/>
  <c r="E26" i="1"/>
  <c r="F26" i="1"/>
  <c r="G26" i="1"/>
  <c r="C39" i="1" l="1"/>
  <c r="D31" i="1" l="1"/>
  <c r="C31" i="1"/>
  <c r="B31" i="1"/>
  <c r="C37" i="1" l="1"/>
  <c r="B37" i="1" l="1"/>
  <c r="D29" i="1" l="1"/>
  <c r="D17" i="1"/>
  <c r="D28" i="1"/>
  <c r="D8" i="1"/>
  <c r="C29" i="1" l="1"/>
  <c r="C17" i="1"/>
  <c r="C28" i="1"/>
  <c r="C8" i="1"/>
  <c r="B29" i="1" l="1"/>
  <c r="B28" i="1"/>
  <c r="B8" i="1"/>
  <c r="B39" i="1" l="1"/>
  <c r="C27" i="1" l="1"/>
  <c r="D27" i="1"/>
  <c r="C26" i="1"/>
  <c r="D26" i="1"/>
  <c r="B27" i="1"/>
  <c r="B26" i="1"/>
  <c r="N6" i="1" l="1"/>
  <c r="N5" i="1"/>
  <c r="L16" i="1" l="1"/>
  <c r="K16" i="1"/>
  <c r="M16" i="1"/>
  <c r="K7" i="1"/>
  <c r="L7" i="1"/>
  <c r="M7" i="1"/>
  <c r="N16" i="1" l="1"/>
  <c r="N7" i="1"/>
  <c r="M40" i="1"/>
  <c r="M41" i="1" s="1"/>
  <c r="K40" i="1"/>
  <c r="L40" i="1"/>
  <c r="L41" i="1" s="1"/>
  <c r="K41" i="1" l="1"/>
  <c r="N40" i="1"/>
  <c r="H16" i="1"/>
  <c r="I16" i="1"/>
  <c r="J16" i="1"/>
  <c r="H7" i="1"/>
  <c r="I7" i="1"/>
  <c r="J7" i="1"/>
  <c r="F16" i="1"/>
  <c r="F7" i="1"/>
  <c r="E7" i="1" l="1"/>
  <c r="E16" i="1"/>
  <c r="E41" i="1" s="1"/>
  <c r="G7" i="1"/>
  <c r="G16" i="1"/>
  <c r="J41" i="1"/>
  <c r="I41" i="1"/>
  <c r="F41" i="1"/>
  <c r="G41" i="1" l="1"/>
  <c r="H41" i="1"/>
  <c r="D16" i="1"/>
  <c r="D7" i="1"/>
  <c r="C16" i="1"/>
  <c r="C7" i="1"/>
  <c r="B7" i="1"/>
  <c r="D41" i="1" l="1"/>
  <c r="C41" i="1"/>
  <c r="B43" i="1"/>
  <c r="N43" i="1" l="1"/>
  <c r="C6" i="1"/>
  <c r="C43" i="1" s="1"/>
  <c r="D6" i="1" s="1"/>
  <c r="D43" i="1" s="1"/>
  <c r="E6" i="1" s="1"/>
  <c r="N41" i="1" l="1"/>
  <c r="N42" i="1" s="1"/>
  <c r="B41" i="1"/>
  <c r="B42" i="1" s="1"/>
  <c r="C5" i="1" l="1"/>
  <c r="C42" i="1" s="1"/>
  <c r="D5" i="1" s="1"/>
  <c r="D42" i="1" l="1"/>
  <c r="E43" i="1" l="1"/>
  <c r="F6" i="1" s="1"/>
  <c r="F43" i="1" s="1"/>
  <c r="G6" i="1" s="1"/>
  <c r="G43" i="1" s="1"/>
  <c r="H6" i="1" s="1"/>
  <c r="H43" i="1" s="1"/>
  <c r="I6" i="1" s="1"/>
  <c r="I43" i="1" s="1"/>
  <c r="J6" i="1" s="1"/>
  <c r="J43" i="1" s="1"/>
  <c r="K6" i="1" s="1"/>
  <c r="K43" i="1" s="1"/>
  <c r="L6" i="1" s="1"/>
  <c r="E5" i="1"/>
  <c r="E42" i="1" s="1"/>
  <c r="F5" i="1" s="1"/>
  <c r="F42" i="1" s="1"/>
  <c r="G5" i="1" s="1"/>
  <c r="L43" i="1" l="1"/>
  <c r="M6" i="1" s="1"/>
  <c r="G42" i="1"/>
  <c r="M43" i="1" l="1"/>
  <c r="H5" i="1"/>
  <c r="H42" i="1" s="1"/>
  <c r="I5" i="1" l="1"/>
  <c r="I42" i="1" s="1"/>
  <c r="J5" i="1" l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<sst xmlns="http://schemas.openxmlformats.org/spreadsheetml/2006/main" count="54" uniqueCount="44">
  <si>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</si>
  <si>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</si>
  <si>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</si>
  <si>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</si>
  <si>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</si>
  <si>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</si>
  <si>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</si>
  <si>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</si>
  <si>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</si>
  <si>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</si>
  <si>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</si>
  <si>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</si>
  <si>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</si>
  <si>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</si>
  <si>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</si>
  <si>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</si>
  <si>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</si>
  <si>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</si>
  <si>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</si>
  <si>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</si>
  <si>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</si>
  <si>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</si>
  <si>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</si>
  <si>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</si>
  <si>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</si>
  <si>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</si>
  <si>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Охрана общего имущества МКД</t>
  </si>
  <si>
    <t>Отведение сточных вод ОИ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</si>
  <si>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</si>
  <si>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</si>
  <si>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</si>
  <si>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</si>
  <si>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</si>
  <si>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</si>
  <si>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</si>
  <si>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</si>
  <si>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</si>
  <si>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</si>
  <si>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</si>
  <si>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</si>
  <si>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</si>
  <si>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Социалистическая, 52 за период 01.01.2021г. по 31.12.2021г.</t>
  </si>
  <si>
    <t>Тех.обслуживание узла учета ОДПУ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</si>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</sst>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C18" zoomScale="75" workbookViewId="0">
      <selection activeCell="P36" sqref="P36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4" width="13.88671875" customWidth="1"/>
    <col min="5" max="5" width="13.33203125" customWidth="1"/>
    <col min="6" max="6" width="13.88671875" customWidth="1"/>
    <col min="7" max="7" width="14.44140625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-135334.57</v>
      </c>
      <c r="C5" s="8">
        <f t="shared" ref="C5:C6" si="0">B42</f>
        <v>-131636.87033000001</v>
      </c>
      <c r="D5" s="8">
        <f t="shared" ref="D5" si="1">C42</f>
        <v>-129001.45569999999</v>
      </c>
      <c r="E5" s="8">
        <f t="shared" ref="E5" si="2">D42</f>
        <v>-131298.52918999997</v>
      </c>
      <c r="F5" s="8">
        <f t="shared" ref="F5" si="3">E42</f>
        <v>-114632.18504999996</v>
      </c>
      <c r="G5" s="8">
        <f t="shared" ref="G5" si="4">F42</f>
        <v>-174863.93513999996</v>
      </c>
      <c r="H5" s="8">
        <f t="shared" ref="H5:H6" si="5">G42</f>
        <v>-186205.67642999993</v>
      </c>
      <c r="I5" s="8">
        <f t="shared" ref="I5:I6" si="6">H42</f>
        <v>-173276.02992999993</v>
      </c>
      <c r="J5" s="8">
        <f t="shared" ref="J5:J6" si="7">I42</f>
        <v>-176326.13187999994</v>
      </c>
      <c r="K5" s="8">
        <f t="shared" ref="K5:K6" si="8">J42</f>
        <v>-159883.00937999994</v>
      </c>
      <c r="L5" s="8">
        <f t="shared" ref="L5:L6" si="9">K42</f>
        <v>-247772.38660999993</v>
      </c>
      <c r="M5" s="8">
        <f t="shared" ref="M5:M6" si="10">L42</f>
        <v>-244969.35355999996</v>
      </c>
      <c r="N5" s="8">
        <f>B5</f>
        <v>-135334.57</v>
      </c>
    </row>
    <row r="6" spans="1:18" ht="21" customHeight="1" thickBot="1" x14ac:dyDescent="0.3">
      <c r="A6" s="7" t="s">
        <v>13</v>
      </c>
      <c r="B6" s="8">
        <v>-111515.55</v>
      </c>
      <c r="C6" s="8">
        <f t="shared" si="0"/>
        <v>-116639.53</v>
      </c>
      <c r="D6" s="8">
        <f t="shared" ref="D6" si="11">C43</f>
        <v>-128231.20999999999</v>
      </c>
      <c r="E6" s="8">
        <f t="shared" ref="E6" si="12">D43</f>
        <v>-131626.63999999998</v>
      </c>
      <c r="F6" s="8">
        <f t="shared" ref="F6" si="13">E43</f>
        <v>-125184.99999999997</v>
      </c>
      <c r="G6" s="8">
        <f t="shared" ref="G6" si="14">F43</f>
        <v>-128461.08999999998</v>
      </c>
      <c r="H6" s="8">
        <f t="shared" si="5"/>
        <v>-124586.70999999999</v>
      </c>
      <c r="I6" s="8">
        <f t="shared" si="6"/>
        <v>-128479.09</v>
      </c>
      <c r="J6" s="8">
        <f t="shared" si="7"/>
        <v>-141774.15</v>
      </c>
      <c r="K6" s="8">
        <f t="shared" si="8"/>
        <v>-142009.78</v>
      </c>
      <c r="L6" s="8">
        <f t="shared" si="9"/>
        <v>-138431.58000000002</v>
      </c>
      <c r="M6" s="8">
        <f t="shared" si="10"/>
        <v>-140239.91000000003</v>
      </c>
      <c r="N6" s="8">
        <f>B6</f>
        <v>-111515.55</v>
      </c>
    </row>
    <row r="7" spans="1:18" ht="20.25" customHeight="1" thickBot="1" x14ac:dyDescent="0.3">
      <c r="A7" s="9" t="s">
        <v>12</v>
      </c>
      <c r="B7" s="10">
        <f t="shared" ref="B7:M7" si="15">SUM(B8:B15)</f>
        <v>68155.320000000007</v>
      </c>
      <c r="C7" s="10">
        <f t="shared" si="15"/>
        <v>70127.3</v>
      </c>
      <c r="D7" s="10">
        <f t="shared" si="15"/>
        <v>66940.75</v>
      </c>
      <c r="E7" s="10">
        <f t="shared" si="15"/>
        <v>67439.89</v>
      </c>
      <c r="F7" s="10">
        <f t="shared" si="15"/>
        <v>65710.09</v>
      </c>
      <c r="G7" s="10">
        <f t="shared" si="15"/>
        <v>62639.23</v>
      </c>
      <c r="H7" s="10">
        <f t="shared" si="15"/>
        <v>72232.86</v>
      </c>
      <c r="I7" s="10">
        <f t="shared" si="15"/>
        <v>75874.06</v>
      </c>
      <c r="J7" s="10">
        <f t="shared" si="15"/>
        <v>69655.760000000009</v>
      </c>
      <c r="K7" s="10">
        <f t="shared" si="15"/>
        <v>69068.570000000007</v>
      </c>
      <c r="L7" s="10">
        <f t="shared" si="15"/>
        <v>71211.430000000008</v>
      </c>
      <c r="M7" s="10">
        <f t="shared" si="15"/>
        <v>69406.52</v>
      </c>
      <c r="N7" s="10">
        <f>SUM(B7:M7)</f>
        <v>828461.78000000014</v>
      </c>
    </row>
    <row r="8" spans="1:18" ht="24.75" customHeight="1" thickBot="1" x14ac:dyDescent="0.3">
      <c r="A8" s="4" t="s">
        <v>43</v>
      </c>
      <c r="B8" s="11">
        <f t="shared" ref="B8:G8" si="16">50914.95+436.55+1208.86</f>
        <v>52560.36</v>
      </c>
      <c r="C8" s="11">
        <f t="shared" si="16"/>
        <v>52560.36</v>
      </c>
      <c r="D8" s="11">
        <f t="shared" si="16"/>
        <v>52560.36</v>
      </c>
      <c r="E8" s="11">
        <f t="shared" si="16"/>
        <v>52560.36</v>
      </c>
      <c r="F8" s="11">
        <f t="shared" si="16"/>
        <v>52560.36</v>
      </c>
      <c r="G8" s="11">
        <f t="shared" si="16"/>
        <v>52560.36</v>
      </c>
      <c r="H8" s="11">
        <f>50914.95+436.55+1208.86</f>
        <v>52560.36</v>
      </c>
      <c r="I8" s="11">
        <f>58346.85+436.55+1208.86</f>
        <v>59992.26</v>
      </c>
      <c r="J8" s="11">
        <f>58346.85+436.55+1208.86</f>
        <v>59992.26</v>
      </c>
      <c r="K8" s="11">
        <f>58346.85+436.55+1208.86</f>
        <v>59992.26</v>
      </c>
      <c r="L8" s="11">
        <f>58346.85+436.55+1208.86</f>
        <v>59992.26</v>
      </c>
      <c r="M8" s="11">
        <f>58346.85+436.55+1208.86</f>
        <v>59992.26</v>
      </c>
      <c r="N8" s="11">
        <f>SUM(B8:M8)</f>
        <v>667883.81999999995</v>
      </c>
    </row>
    <row r="9" spans="1:18" ht="24.75" customHeight="1" thickBot="1" x14ac:dyDescent="0.3">
      <c r="A9" s="4" t="s">
        <v>16</v>
      </c>
      <c r="B9" s="11">
        <v>1535.45</v>
      </c>
      <c r="C9" s="11">
        <v>1535.45</v>
      </c>
      <c r="D9" s="11">
        <v>1535.45</v>
      </c>
      <c r="E9" s="11">
        <v>1535.45</v>
      </c>
      <c r="F9" s="11">
        <v>1535.45</v>
      </c>
      <c r="G9" s="11">
        <v>1535.45</v>
      </c>
      <c r="H9" s="11">
        <v>1535.45</v>
      </c>
      <c r="I9" s="11">
        <v>1759.57</v>
      </c>
      <c r="J9" s="11">
        <v>1759.57</v>
      </c>
      <c r="K9" s="11">
        <v>1759.57</v>
      </c>
      <c r="L9" s="11">
        <v>1759.57</v>
      </c>
      <c r="M9" s="11">
        <v>1759.57</v>
      </c>
      <c r="N9" s="11">
        <f t="shared" ref="N9:N15" si="17">SUM(B9:M9)</f>
        <v>19546</v>
      </c>
    </row>
    <row r="10" spans="1:18" ht="24.75" customHeight="1" thickBot="1" x14ac:dyDescent="0.3">
      <c r="A10" s="4" t="s">
        <v>17</v>
      </c>
      <c r="B10" s="11">
        <v>7528.01</v>
      </c>
      <c r="C10" s="11">
        <v>8089.46</v>
      </c>
      <c r="D10" s="11">
        <v>5375.44</v>
      </c>
      <c r="E10" s="11">
        <v>5871.14</v>
      </c>
      <c r="F10" s="11">
        <v>3570.81</v>
      </c>
      <c r="G10" s="11">
        <v>2011.92</v>
      </c>
      <c r="H10" s="11">
        <f>11259.94+339.14</f>
        <v>11599.08</v>
      </c>
      <c r="I10" s="11">
        <f>3175.84+95.35</f>
        <v>3271.19</v>
      </c>
      <c r="J10" s="11">
        <v>0</v>
      </c>
      <c r="K10" s="11">
        <f>1762.27+53.08</f>
        <v>1815.35</v>
      </c>
      <c r="L10" s="11">
        <v>0</v>
      </c>
      <c r="M10" s="11">
        <v>0</v>
      </c>
      <c r="N10" s="11">
        <f t="shared" si="17"/>
        <v>49132.4</v>
      </c>
    </row>
    <row r="11" spans="1:18" ht="24.75" customHeight="1" thickBot="1" x14ac:dyDescent="0.3">
      <c r="A11" s="4" t="s">
        <v>18</v>
      </c>
      <c r="B11" s="11">
        <v>259.55</v>
      </c>
      <c r="C11" s="11">
        <v>259.55</v>
      </c>
      <c r="D11" s="11">
        <v>259.55</v>
      </c>
      <c r="E11" s="11">
        <v>259.55</v>
      </c>
      <c r="F11" s="11">
        <v>259.55</v>
      </c>
      <c r="G11" s="11">
        <v>259.55</v>
      </c>
      <c r="H11" s="11">
        <f>251.69+7.86</f>
        <v>259.55</v>
      </c>
      <c r="I11" s="11">
        <f>267.22+7.86</f>
        <v>275.08000000000004</v>
      </c>
      <c r="J11" s="11">
        <f>267.22+7.86</f>
        <v>275.08000000000004</v>
      </c>
      <c r="K11" s="11">
        <v>-777.03</v>
      </c>
      <c r="L11" s="11">
        <f>267.22+7.86</f>
        <v>275.08000000000004</v>
      </c>
      <c r="M11" s="11">
        <f>267.22+7.86</f>
        <v>275.08000000000004</v>
      </c>
      <c r="N11" s="11">
        <f t="shared" si="17"/>
        <v>2140.14</v>
      </c>
    </row>
    <row r="12" spans="1:18" ht="24.75" customHeight="1" thickBot="1" x14ac:dyDescent="0.3">
      <c r="A12" s="4" t="s">
        <v>19</v>
      </c>
      <c r="B12" s="11">
        <v>0</v>
      </c>
      <c r="C12" s="11">
        <v>1410.53</v>
      </c>
      <c r="D12" s="11">
        <v>938</v>
      </c>
      <c r="E12" s="11">
        <v>941.44</v>
      </c>
      <c r="F12" s="11">
        <v>1511.97</v>
      </c>
      <c r="G12" s="11">
        <v>0</v>
      </c>
      <c r="H12" s="11">
        <v>0</v>
      </c>
      <c r="I12" s="11">
        <f>4171.72+125.82</f>
        <v>4297.54</v>
      </c>
      <c r="J12" s="11">
        <f>1311.11+39.32</f>
        <v>1350.4299999999998</v>
      </c>
      <c r="K12" s="11">
        <v>0</v>
      </c>
      <c r="L12" s="11">
        <f>2821.56+84.54</f>
        <v>2906.1</v>
      </c>
      <c r="M12" s="11">
        <f>1068.75+32.44</f>
        <v>1101.19</v>
      </c>
      <c r="N12" s="11">
        <f t="shared" si="17"/>
        <v>14457.2</v>
      </c>
    </row>
    <row r="13" spans="1:18" ht="24.75" customHeight="1" thickBot="1" x14ac:dyDescent="0.3">
      <c r="A13" s="4" t="s">
        <v>25</v>
      </c>
      <c r="B13" s="11">
        <v>4431.1499999999996</v>
      </c>
      <c r="C13" s="11">
        <v>4431.1499999999996</v>
      </c>
      <c r="D13" s="11">
        <v>4431.1499999999996</v>
      </c>
      <c r="E13" s="11">
        <v>4431.1499999999996</v>
      </c>
      <c r="F13" s="11">
        <v>4431.1499999999996</v>
      </c>
      <c r="G13" s="11">
        <v>4431.1499999999996</v>
      </c>
      <c r="H13" s="11">
        <f>4371.15+60</f>
        <v>4431.1499999999996</v>
      </c>
      <c r="I13" s="11">
        <f>4371.15+60</f>
        <v>4431.1499999999996</v>
      </c>
      <c r="J13" s="11">
        <f>4371.15+60</f>
        <v>4431.1499999999996</v>
      </c>
      <c r="K13" s="11">
        <f>4371.15+60</f>
        <v>4431.1499999999996</v>
      </c>
      <c r="L13" s="11">
        <f>4371.15+60</f>
        <v>4431.1499999999996</v>
      </c>
      <c r="M13" s="11">
        <f>4371.15+60</f>
        <v>4431.1499999999996</v>
      </c>
      <c r="N13" s="11">
        <f t="shared" si="17"/>
        <v>53173.80000000001</v>
      </c>
    </row>
    <row r="14" spans="1:18" ht="24.75" customHeight="1" thickBot="1" x14ac:dyDescent="0.3">
      <c r="A14" s="4" t="s">
        <v>27</v>
      </c>
      <c r="B14" s="11">
        <v>370.8</v>
      </c>
      <c r="C14" s="11">
        <v>370.8</v>
      </c>
      <c r="D14" s="11">
        <v>370.8</v>
      </c>
      <c r="E14" s="11">
        <v>370.8</v>
      </c>
      <c r="F14" s="11">
        <v>370.8</v>
      </c>
      <c r="G14" s="11">
        <v>370.8</v>
      </c>
      <c r="H14" s="11">
        <f>366.46+10.81</f>
        <v>377.27</v>
      </c>
      <c r="I14" s="11">
        <f>366.46+10.81</f>
        <v>377.27</v>
      </c>
      <c r="J14" s="11">
        <f>366.46+10.81</f>
        <v>377.27</v>
      </c>
      <c r="K14" s="11">
        <f>366.46+10.81</f>
        <v>377.27</v>
      </c>
      <c r="L14" s="11">
        <f>366.46+10.81</f>
        <v>377.27</v>
      </c>
      <c r="M14" s="11">
        <f>366.46+10.81</f>
        <v>377.27</v>
      </c>
      <c r="N14" s="11">
        <f t="shared" si="17"/>
        <v>4488.42</v>
      </c>
    </row>
    <row r="15" spans="1:18" ht="24.75" customHeight="1" thickBot="1" x14ac:dyDescent="0.3">
      <c r="A15" s="4" t="s">
        <v>14</v>
      </c>
      <c r="B15" s="11">
        <v>1470</v>
      </c>
      <c r="C15" s="11">
        <v>1470</v>
      </c>
      <c r="D15" s="11">
        <v>1470</v>
      </c>
      <c r="E15" s="11">
        <v>1470</v>
      </c>
      <c r="F15" s="11">
        <v>1470</v>
      </c>
      <c r="G15" s="11">
        <v>1470</v>
      </c>
      <c r="H15" s="11">
        <v>1470</v>
      </c>
      <c r="I15" s="11">
        <v>1470</v>
      </c>
      <c r="J15" s="11">
        <v>1470</v>
      </c>
      <c r="K15" s="11">
        <v>1470</v>
      </c>
      <c r="L15" s="11">
        <v>1470</v>
      </c>
      <c r="M15" s="11">
        <v>1470</v>
      </c>
      <c r="N15" s="11">
        <f t="shared" si="17"/>
        <v>17640</v>
      </c>
    </row>
    <row r="16" spans="1:18" ht="20.25" customHeight="1" thickBot="1" x14ac:dyDescent="0.3">
      <c r="A16" s="12" t="s">
        <v>8</v>
      </c>
      <c r="B16" s="13">
        <f t="shared" ref="B16:M16" si="18">SUM(B17:B24)</f>
        <v>63031.340000000004</v>
      </c>
      <c r="C16" s="13">
        <f t="shared" si="18"/>
        <v>58535.62000000001</v>
      </c>
      <c r="D16" s="13">
        <f t="shared" si="18"/>
        <v>63545.320000000007</v>
      </c>
      <c r="E16" s="13">
        <f t="shared" si="18"/>
        <v>73881.530000000013</v>
      </c>
      <c r="F16" s="13">
        <f t="shared" si="18"/>
        <v>62433.999999999985</v>
      </c>
      <c r="G16" s="13">
        <f t="shared" si="18"/>
        <v>66513.61</v>
      </c>
      <c r="H16" s="13">
        <f t="shared" si="18"/>
        <v>68340.479999999996</v>
      </c>
      <c r="I16" s="13">
        <f t="shared" si="18"/>
        <v>62578.999999999993</v>
      </c>
      <c r="J16" s="13">
        <f t="shared" si="18"/>
        <v>69420.13</v>
      </c>
      <c r="K16" s="13">
        <f t="shared" si="18"/>
        <v>72646.77</v>
      </c>
      <c r="L16" s="13">
        <f t="shared" si="18"/>
        <v>69403.099999999991</v>
      </c>
      <c r="M16" s="13">
        <f t="shared" si="18"/>
        <v>72364.61</v>
      </c>
      <c r="N16" s="13">
        <f>SUM(B16:M16)</f>
        <v>802695.51</v>
      </c>
    </row>
    <row r="17" spans="1:15" ht="24" customHeight="1" thickBot="1" x14ac:dyDescent="0.3">
      <c r="A17" s="4" t="s">
        <v>43</v>
      </c>
      <c r="B17" s="11">
        <f>51972.18+415.48+1146.71</f>
        <v>53534.37</v>
      </c>
      <c r="C17" s="11">
        <f>45720.54+360.48+1001.04</f>
        <v>47082.060000000005</v>
      </c>
      <c r="D17" s="11">
        <f>45657.8+391.73+1006.57</f>
        <v>47056.100000000006</v>
      </c>
      <c r="E17" s="11">
        <f>56778.18+516.88+1480.89+31.51</f>
        <v>58807.46</v>
      </c>
      <c r="F17" s="11">
        <f>47553.61+373.88+1052.09</f>
        <v>48979.579999999994</v>
      </c>
      <c r="G17" s="11">
        <f>53055.75+450.02+1169.85</f>
        <v>54675.619999999995</v>
      </c>
      <c r="H17" s="11">
        <f>53726.11+454.49+1264.83</f>
        <v>55445.43</v>
      </c>
      <c r="I17" s="11">
        <f>44405.88+640.11+1771.51</f>
        <v>46817.5</v>
      </c>
      <c r="J17" s="11">
        <f>55092.32+463.61+1282.38</f>
        <v>56838.31</v>
      </c>
      <c r="K17" s="11">
        <f>56480.72+426.86+1254.94</f>
        <v>58162.520000000004</v>
      </c>
      <c r="L17" s="11">
        <f>60006.63+399.42+1103.63</f>
        <v>61509.679999999993</v>
      </c>
      <c r="M17" s="11">
        <f>58127.05+419.77+1165.34</f>
        <v>59712.159999999996</v>
      </c>
      <c r="N17" s="11">
        <f>SUM(B17:M17)</f>
        <v>648620.78999999992</v>
      </c>
    </row>
    <row r="18" spans="1:15" ht="26.25" customHeight="1" thickBot="1" x14ac:dyDescent="0.3">
      <c r="A18" s="4" t="s">
        <v>16</v>
      </c>
      <c r="B18" s="11">
        <v>1535.45</v>
      </c>
      <c r="C18" s="11">
        <v>0</v>
      </c>
      <c r="D18" s="11">
        <v>3070.9</v>
      </c>
      <c r="E18" s="11">
        <v>1535.45</v>
      </c>
      <c r="F18" s="11">
        <v>1535.45</v>
      </c>
      <c r="G18" s="11">
        <v>0</v>
      </c>
      <c r="H18" s="11">
        <v>3070.9</v>
      </c>
      <c r="I18" s="11">
        <v>0</v>
      </c>
      <c r="J18" s="11">
        <v>0</v>
      </c>
      <c r="K18" s="11">
        <v>4606.3500000000004</v>
      </c>
      <c r="L18" s="11">
        <v>0</v>
      </c>
      <c r="M18" s="11">
        <v>0</v>
      </c>
      <c r="N18" s="11">
        <f t="shared" ref="N18:N24" si="19">SUM(B18:M18)</f>
        <v>15354.5</v>
      </c>
    </row>
    <row r="19" spans="1:15" ht="26.25" customHeight="1" thickBot="1" x14ac:dyDescent="0.3">
      <c r="A19" s="4" t="s">
        <v>17</v>
      </c>
      <c r="B19" s="11">
        <v>1883.19</v>
      </c>
      <c r="C19" s="11">
        <v>6299.89</v>
      </c>
      <c r="D19" s="11">
        <v>6988.12</v>
      </c>
      <c r="E19" s="11">
        <v>5495.25</v>
      </c>
      <c r="F19" s="11">
        <v>5357.36</v>
      </c>
      <c r="G19" s="11">
        <v>4026.19</v>
      </c>
      <c r="H19" s="11">
        <f>2469.94+96.27</f>
        <v>2566.21</v>
      </c>
      <c r="I19" s="11">
        <v>9541.84</v>
      </c>
      <c r="J19" s="11">
        <v>3335.1</v>
      </c>
      <c r="K19" s="11">
        <f>666.21+104.2</f>
        <v>770.41000000000008</v>
      </c>
      <c r="L19" s="11">
        <v>2107.12</v>
      </c>
      <c r="M19" s="11">
        <v>261.5</v>
      </c>
      <c r="N19" s="11">
        <f t="shared" si="19"/>
        <v>48632.180000000008</v>
      </c>
    </row>
    <row r="20" spans="1:15" ht="26.25" customHeight="1" thickBot="1" x14ac:dyDescent="0.3">
      <c r="A20" s="4" t="s">
        <v>18</v>
      </c>
      <c r="B20" s="11">
        <v>331.08</v>
      </c>
      <c r="C20" s="11">
        <v>242.91</v>
      </c>
      <c r="D20" s="11">
        <v>252.07</v>
      </c>
      <c r="E20" s="11">
        <v>352.97</v>
      </c>
      <c r="F20" s="11">
        <v>244.77</v>
      </c>
      <c r="G20" s="11">
        <v>262.26</v>
      </c>
      <c r="H20" s="11">
        <v>265.58999999999997</v>
      </c>
      <c r="I20" s="11">
        <v>220.72</v>
      </c>
      <c r="J20" s="11">
        <v>256.33</v>
      </c>
      <c r="K20" s="11">
        <f>255.87+23.58</f>
        <v>279.45</v>
      </c>
      <c r="L20" s="11">
        <v>1.99</v>
      </c>
      <c r="M20" s="11">
        <v>11.04</v>
      </c>
      <c r="N20" s="11">
        <f t="shared" si="19"/>
        <v>2721.1799999999994</v>
      </c>
    </row>
    <row r="21" spans="1:15" ht="26.25" customHeight="1" thickBot="1" x14ac:dyDescent="0.3">
      <c r="A21" s="4" t="s">
        <v>19</v>
      </c>
      <c r="B21" s="11">
        <v>275.45999999999998</v>
      </c>
      <c r="C21" s="11">
        <v>74.040000000000006</v>
      </c>
      <c r="D21" s="11">
        <v>1199.99</v>
      </c>
      <c r="E21" s="11">
        <v>1177.28</v>
      </c>
      <c r="F21" s="11">
        <v>874.21</v>
      </c>
      <c r="G21" s="11">
        <v>1404.27</v>
      </c>
      <c r="H21" s="11">
        <v>149.96</v>
      </c>
      <c r="I21" s="11">
        <v>32.54</v>
      </c>
      <c r="J21" s="11">
        <v>3666.84</v>
      </c>
      <c r="K21" s="11">
        <f>1267.96+132.72</f>
        <v>1400.68</v>
      </c>
      <c r="L21" s="11">
        <v>215.86</v>
      </c>
      <c r="M21" s="11">
        <v>2669.22</v>
      </c>
      <c r="N21" s="11">
        <f t="shared" si="19"/>
        <v>13140.35</v>
      </c>
    </row>
    <row r="22" spans="1:15" ht="26.25" customHeight="1" thickBot="1" x14ac:dyDescent="0.3">
      <c r="A22" s="4" t="s">
        <v>25</v>
      </c>
      <c r="B22" s="11">
        <v>4187.83</v>
      </c>
      <c r="C22" s="11">
        <v>3610.93</v>
      </c>
      <c r="D22" s="11">
        <v>3732.2</v>
      </c>
      <c r="E22" s="11">
        <v>5188.63</v>
      </c>
      <c r="F22" s="11">
        <v>4195.6000000000004</v>
      </c>
      <c r="G22" s="11">
        <v>4870.16</v>
      </c>
      <c r="H22" s="11">
        <f>4820.87+120</f>
        <v>4940.87</v>
      </c>
      <c r="I22" s="11">
        <v>3947.06</v>
      </c>
      <c r="J22" s="11">
        <v>4073.94</v>
      </c>
      <c r="K22" s="11">
        <f>5265.85+180</f>
        <v>5445.85</v>
      </c>
      <c r="L22" s="11">
        <v>4089.55</v>
      </c>
      <c r="M22" s="11">
        <v>4244.9399999999996</v>
      </c>
      <c r="N22" s="11">
        <f t="shared" si="19"/>
        <v>52527.560000000005</v>
      </c>
    </row>
    <row r="23" spans="1:15" ht="26.25" customHeight="1" thickBot="1" x14ac:dyDescent="0.3">
      <c r="A23" s="4" t="s">
        <v>27</v>
      </c>
      <c r="B23" s="11">
        <v>383.96</v>
      </c>
      <c r="C23" s="11">
        <v>325.79000000000002</v>
      </c>
      <c r="D23" s="11">
        <v>345.94</v>
      </c>
      <c r="E23" s="11">
        <v>424.49</v>
      </c>
      <c r="F23" s="11">
        <v>347.03</v>
      </c>
      <c r="G23" s="11">
        <v>375.11</v>
      </c>
      <c r="H23" s="11">
        <f>379.9+21.62</f>
        <v>401.52</v>
      </c>
      <c r="I23" s="11">
        <v>319.33999999999997</v>
      </c>
      <c r="J23" s="11">
        <v>349.61</v>
      </c>
      <c r="K23" s="11">
        <f>359.08+32.43</f>
        <v>391.51</v>
      </c>
      <c r="L23" s="11">
        <v>378.9</v>
      </c>
      <c r="M23" s="11">
        <v>365.75</v>
      </c>
      <c r="N23" s="11">
        <f t="shared" si="19"/>
        <v>4408.9500000000007</v>
      </c>
    </row>
    <row r="24" spans="1:15" ht="26.25" customHeight="1" thickBot="1" x14ac:dyDescent="0.3">
      <c r="A24" s="4" t="s">
        <v>14</v>
      </c>
      <c r="B24" s="14">
        <v>900</v>
      </c>
      <c r="C24" s="14">
        <v>900</v>
      </c>
      <c r="D24" s="14">
        <v>900</v>
      </c>
      <c r="E24" s="14">
        <v>900</v>
      </c>
      <c r="F24" s="14">
        <v>900</v>
      </c>
      <c r="G24" s="14">
        <v>900</v>
      </c>
      <c r="H24" s="14">
        <v>1500</v>
      </c>
      <c r="I24" s="14">
        <v>1700</v>
      </c>
      <c r="J24" s="14">
        <v>900</v>
      </c>
      <c r="K24" s="11">
        <v>1590</v>
      </c>
      <c r="L24" s="11">
        <v>1100</v>
      </c>
      <c r="M24" s="11">
        <v>5100</v>
      </c>
      <c r="N24" s="11">
        <f t="shared" si="19"/>
        <v>17290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20">3358.7*0.55</f>
        <v>1847.2850000000001</v>
      </c>
      <c r="C26" s="11">
        <f t="shared" si="20"/>
        <v>1847.2850000000001</v>
      </c>
      <c r="D26" s="11">
        <f t="shared" si="20"/>
        <v>1847.2850000000001</v>
      </c>
      <c r="E26" s="11">
        <f t="shared" si="20"/>
        <v>1847.2850000000001</v>
      </c>
      <c r="F26" s="11">
        <f t="shared" si="20"/>
        <v>1847.2850000000001</v>
      </c>
      <c r="G26" s="11">
        <f t="shared" si="20"/>
        <v>1847.2850000000001</v>
      </c>
      <c r="H26" s="11">
        <f t="shared" si="20"/>
        <v>1847.2850000000001</v>
      </c>
      <c r="I26" s="11">
        <f t="shared" si="20"/>
        <v>1847.2850000000001</v>
      </c>
      <c r="J26" s="11">
        <f t="shared" si="20"/>
        <v>1847.2850000000001</v>
      </c>
      <c r="K26" s="11">
        <f t="shared" si="20"/>
        <v>1847.2850000000001</v>
      </c>
      <c r="L26" s="11">
        <f t="shared" si="20"/>
        <v>1847.2850000000001</v>
      </c>
      <c r="M26" s="11">
        <f t="shared" si="20"/>
        <v>1847.2850000000001</v>
      </c>
      <c r="N26" s="11">
        <f>SUM(B26:M26)</f>
        <v>22167.420000000002</v>
      </c>
    </row>
    <row r="27" spans="1:15" ht="22.5" customHeight="1" thickBot="1" x14ac:dyDescent="0.3">
      <c r="A27" s="4" t="s">
        <v>2</v>
      </c>
      <c r="B27" s="11">
        <f t="shared" ref="B27:M27" si="21">3358.7*0.17</f>
        <v>570.97900000000004</v>
      </c>
      <c r="C27" s="11">
        <f t="shared" si="21"/>
        <v>570.97900000000004</v>
      </c>
      <c r="D27" s="11">
        <f t="shared" si="21"/>
        <v>570.97900000000004</v>
      </c>
      <c r="E27" s="11">
        <f t="shared" si="21"/>
        <v>570.97900000000004</v>
      </c>
      <c r="F27" s="11">
        <f t="shared" si="21"/>
        <v>570.97900000000004</v>
      </c>
      <c r="G27" s="11">
        <f t="shared" si="21"/>
        <v>570.97900000000004</v>
      </c>
      <c r="H27" s="11">
        <f t="shared" si="21"/>
        <v>570.97900000000004</v>
      </c>
      <c r="I27" s="11">
        <f t="shared" si="21"/>
        <v>570.97900000000004</v>
      </c>
      <c r="J27" s="11">
        <f t="shared" si="21"/>
        <v>570.97900000000004</v>
      </c>
      <c r="K27" s="11">
        <f t="shared" si="21"/>
        <v>570.97900000000004</v>
      </c>
      <c r="L27" s="11">
        <f t="shared" si="21"/>
        <v>570.97900000000004</v>
      </c>
      <c r="M27" s="11">
        <f t="shared" si="21"/>
        <v>570.97900000000004</v>
      </c>
      <c r="N27" s="11">
        <f t="shared" ref="N27:N39" si="22">SUM(B27:M27)</f>
        <v>6851.7480000000023</v>
      </c>
    </row>
    <row r="28" spans="1:15" ht="21" customHeight="1" thickBot="1" x14ac:dyDescent="0.3">
      <c r="A28" s="4" t="s">
        <v>3</v>
      </c>
      <c r="B28" s="11">
        <f>64851.01*2.3%</f>
        <v>1491.57323</v>
      </c>
      <c r="C28" s="11">
        <f>66764.99*2.3%</f>
        <v>1535.5947700000002</v>
      </c>
      <c r="D28" s="11">
        <f>63671.83*2.3%</f>
        <v>1464.45209</v>
      </c>
      <c r="E28" s="11">
        <f>64156.22*2.3%</f>
        <v>1475.5930599999999</v>
      </c>
      <c r="F28" s="11">
        <f>62477.53*2.3%</f>
        <v>1436.9831899999999</v>
      </c>
      <c r="G28" s="11">
        <f>59496.13*2.3%</f>
        <v>1368.4109899999999</v>
      </c>
      <c r="H28" s="11">
        <f>68809.6*2.3%</f>
        <v>1582.6208000000001</v>
      </c>
      <c r="I28" s="11">
        <f>72344.65*2.3%</f>
        <v>1663.9269499999998</v>
      </c>
      <c r="J28" s="11">
        <f>66308.2*2.3%</f>
        <v>1525.0885999999998</v>
      </c>
      <c r="K28" s="11">
        <f>65715.11*2.3%</f>
        <v>1511.4475299999999</v>
      </c>
      <c r="L28" s="11">
        <f>67818.65*2.3%</f>
        <v>1559.8289499999998</v>
      </c>
      <c r="M28" s="11">
        <f>66065.84*2.3%</f>
        <v>1519.51432</v>
      </c>
      <c r="N28" s="11">
        <f t="shared" si="22"/>
        <v>18135.034479999998</v>
      </c>
    </row>
    <row r="29" spans="1:15" ht="23.25" customHeight="1" thickBot="1" x14ac:dyDescent="0.3">
      <c r="A29" s="4" t="s">
        <v>4</v>
      </c>
      <c r="B29" s="11">
        <f>60462.17*3%</f>
        <v>1813.8651</v>
      </c>
      <c r="C29" s="11">
        <f>57635.62*3%</f>
        <v>1729.0686000000001</v>
      </c>
      <c r="D29" s="11">
        <f>59306.98*3%</f>
        <v>1779.2094</v>
      </c>
      <c r="E29" s="11">
        <f>71312.36*3%</f>
        <v>2139.3708000000001</v>
      </c>
      <c r="F29" s="11">
        <f>59864.83*3%</f>
        <v>1795.9449</v>
      </c>
      <c r="G29" s="11">
        <f>65613.61*3%</f>
        <v>1968.4083000000001</v>
      </c>
      <c r="H29" s="11">
        <f>63531.69*3%</f>
        <v>1905.9507000000001</v>
      </c>
      <c r="I29" s="11">
        <f>60879*3%</f>
        <v>1826.37</v>
      </c>
      <c r="J29" s="11">
        <f>68520.13*3%</f>
        <v>2055.6039000000001</v>
      </c>
      <c r="K29" s="11">
        <f>65977.49*3%</f>
        <v>1979.3247000000001</v>
      </c>
      <c r="L29" s="11">
        <f>68303.1*3%</f>
        <v>2049.0930000000003</v>
      </c>
      <c r="M29" s="11">
        <f>67264.61*3%</f>
        <v>2017.9383</v>
      </c>
      <c r="N29" s="11">
        <f t="shared" si="22"/>
        <v>23060.147700000005</v>
      </c>
    </row>
    <row r="30" spans="1:15" ht="23.25" customHeight="1" thickBot="1" x14ac:dyDescent="0.3">
      <c r="A30" s="4" t="s">
        <v>9</v>
      </c>
      <c r="B30" s="11">
        <v>24854.38</v>
      </c>
      <c r="C30" s="11">
        <v>24854.38</v>
      </c>
      <c r="D30" s="11">
        <v>24854.38</v>
      </c>
      <c r="E30" s="11">
        <v>24854.38</v>
      </c>
      <c r="F30" s="11">
        <v>24854.38</v>
      </c>
      <c r="G30" s="11">
        <v>24854.38</v>
      </c>
      <c r="H30" s="11">
        <v>24854.38</v>
      </c>
      <c r="I30" s="20">
        <f>3357.9*8.5</f>
        <v>28542.15</v>
      </c>
      <c r="J30" s="20">
        <f>3357.9*8.5</f>
        <v>28542.15</v>
      </c>
      <c r="K30" s="20">
        <f t="shared" ref="K30:M30" si="23">3357.9*8.5</f>
        <v>28542.15</v>
      </c>
      <c r="L30" s="20">
        <f t="shared" si="23"/>
        <v>28542.15</v>
      </c>
      <c r="M30" s="20">
        <f t="shared" si="23"/>
        <v>28542.15</v>
      </c>
      <c r="N30" s="11">
        <f t="shared" si="22"/>
        <v>316691.41000000003</v>
      </c>
    </row>
    <row r="31" spans="1:15" ht="26.25" customHeight="1" thickBot="1" x14ac:dyDescent="0.3">
      <c r="A31" s="4" t="s">
        <v>20</v>
      </c>
      <c r="B31" s="11">
        <f>7121.39+967.91</f>
        <v>8089.3</v>
      </c>
      <c r="C31" s="11">
        <f>4732.29+643.16</f>
        <v>5375.45</v>
      </c>
      <c r="D31" s="11">
        <f>5168.5+702.5</f>
        <v>5871</v>
      </c>
      <c r="E31" s="11">
        <f>3143.89+427.24</f>
        <v>3571.13</v>
      </c>
      <c r="F31" s="11">
        <f>1771.16+240.67</f>
        <v>2011.8300000000002</v>
      </c>
      <c r="G31" s="11">
        <f>10211.57+1388.07</f>
        <v>11599.64</v>
      </c>
      <c r="H31" s="11">
        <f>3271.81+0</f>
        <v>3271.81</v>
      </c>
      <c r="I31" s="11">
        <v>0</v>
      </c>
      <c r="J31" s="11">
        <f>1593.14+222.33</f>
        <v>1815.47</v>
      </c>
      <c r="K31" s="11">
        <v>0</v>
      </c>
      <c r="L31" s="11">
        <v>0</v>
      </c>
      <c r="M31" s="11">
        <v>0</v>
      </c>
      <c r="N31" s="11">
        <f t="shared" si="22"/>
        <v>41605.630000000005</v>
      </c>
    </row>
    <row r="32" spans="1:15" ht="26.25" customHeight="1" thickBot="1" x14ac:dyDescent="0.3">
      <c r="A32" s="4" t="s">
        <v>21</v>
      </c>
      <c r="B32" s="11">
        <v>259.31</v>
      </c>
      <c r="C32" s="11">
        <v>259.31</v>
      </c>
      <c r="D32" s="11">
        <v>259.31</v>
      </c>
      <c r="E32" s="11">
        <v>259.31</v>
      </c>
      <c r="F32" s="11">
        <v>259.31</v>
      </c>
      <c r="G32" s="11">
        <v>259.31</v>
      </c>
      <c r="H32" s="11">
        <v>275.26</v>
      </c>
      <c r="I32" s="11">
        <v>275.26</v>
      </c>
      <c r="J32" s="11">
        <v>275.26</v>
      </c>
      <c r="K32" s="11">
        <v>275.26</v>
      </c>
      <c r="L32" s="11">
        <v>275.26</v>
      </c>
      <c r="M32" s="11">
        <v>275.26</v>
      </c>
      <c r="N32" s="11">
        <f t="shared" si="22"/>
        <v>3207.420000000001</v>
      </c>
    </row>
    <row r="33" spans="1:14" ht="26.25" customHeight="1" thickBot="1" x14ac:dyDescent="0.3">
      <c r="A33" s="4" t="s">
        <v>22</v>
      </c>
      <c r="B33" s="11">
        <v>1410.5</v>
      </c>
      <c r="C33" s="11">
        <v>938</v>
      </c>
      <c r="D33" s="11">
        <v>941.5</v>
      </c>
      <c r="E33" s="11">
        <v>1512</v>
      </c>
      <c r="F33" s="11">
        <v>0</v>
      </c>
      <c r="G33" s="11">
        <v>0</v>
      </c>
      <c r="H33" s="11">
        <v>4297.57</v>
      </c>
      <c r="I33" s="11">
        <v>1350.56</v>
      </c>
      <c r="J33" s="11">
        <v>0</v>
      </c>
      <c r="K33" s="11">
        <v>2906.64</v>
      </c>
      <c r="L33" s="11">
        <v>1101</v>
      </c>
      <c r="M33" s="11">
        <v>2411.19</v>
      </c>
      <c r="N33" s="11">
        <f t="shared" si="22"/>
        <v>16868.96</v>
      </c>
    </row>
    <row r="34" spans="1:14" ht="26.25" customHeight="1" thickBot="1" x14ac:dyDescent="0.3">
      <c r="A34" s="4" t="s">
        <v>27</v>
      </c>
      <c r="B34" s="11">
        <v>370.78</v>
      </c>
      <c r="C34" s="11">
        <v>370.78</v>
      </c>
      <c r="D34" s="11">
        <v>370.78</v>
      </c>
      <c r="E34" s="11">
        <v>370.78</v>
      </c>
      <c r="F34" s="11">
        <v>370.78</v>
      </c>
      <c r="G34" s="11">
        <v>370.78</v>
      </c>
      <c r="H34" s="11">
        <v>377.42</v>
      </c>
      <c r="I34" s="11">
        <v>377.42</v>
      </c>
      <c r="J34" s="11">
        <v>377.42</v>
      </c>
      <c r="K34" s="11">
        <v>377.42</v>
      </c>
      <c r="L34" s="11">
        <v>377.42</v>
      </c>
      <c r="M34" s="11">
        <v>377.42</v>
      </c>
      <c r="N34" s="11">
        <f t="shared" si="22"/>
        <v>4489.2</v>
      </c>
    </row>
    <row r="35" spans="1:14" ht="22.5" customHeight="1" thickBot="1" x14ac:dyDescent="0.3">
      <c r="A35" s="4" t="s">
        <v>6</v>
      </c>
      <c r="B35" s="11">
        <f>3358.7*2.34</f>
        <v>7859.3579999999993</v>
      </c>
      <c r="C35" s="11">
        <f t="shared" ref="C35:H35" si="24">3358.7*2.34</f>
        <v>7859.3579999999993</v>
      </c>
      <c r="D35" s="11">
        <f t="shared" si="24"/>
        <v>7859.3579999999993</v>
      </c>
      <c r="E35" s="11">
        <f t="shared" si="24"/>
        <v>7859.3579999999993</v>
      </c>
      <c r="F35" s="11">
        <f t="shared" si="24"/>
        <v>7859.3579999999993</v>
      </c>
      <c r="G35" s="11">
        <f t="shared" si="24"/>
        <v>7859.3579999999993</v>
      </c>
      <c r="H35" s="11">
        <f t="shared" si="24"/>
        <v>7859.3579999999993</v>
      </c>
      <c r="I35" s="20">
        <f>3357.9*2.69</f>
        <v>9032.7510000000002</v>
      </c>
      <c r="J35" s="20">
        <f>3357.9*2.69</f>
        <v>9032.7510000000002</v>
      </c>
      <c r="K35" s="20">
        <f t="shared" ref="K35:M35" si="25">3357.9*2.69</f>
        <v>9032.7510000000002</v>
      </c>
      <c r="L35" s="20">
        <f t="shared" si="25"/>
        <v>9032.7510000000002</v>
      </c>
      <c r="M35" s="20">
        <f t="shared" si="25"/>
        <v>9032.7510000000002</v>
      </c>
      <c r="N35" s="11">
        <f t="shared" si="22"/>
        <v>100179.26100000001</v>
      </c>
    </row>
    <row r="36" spans="1:14" ht="22.5" customHeight="1" thickBot="1" x14ac:dyDescent="0.3">
      <c r="A36" s="4" t="s">
        <v>26</v>
      </c>
      <c r="B36" s="11">
        <v>2000</v>
      </c>
      <c r="C36" s="11">
        <v>2000</v>
      </c>
      <c r="D36" s="11">
        <v>2000</v>
      </c>
      <c r="E36" s="11">
        <v>2000</v>
      </c>
      <c r="F36" s="11">
        <v>2000</v>
      </c>
      <c r="G36" s="11">
        <v>2000</v>
      </c>
      <c r="H36" s="11">
        <v>2000</v>
      </c>
      <c r="I36" s="11">
        <v>2000</v>
      </c>
      <c r="J36" s="11">
        <v>2000</v>
      </c>
      <c r="K36" s="11">
        <v>2000</v>
      </c>
      <c r="L36" s="11">
        <v>2000</v>
      </c>
      <c r="M36" s="11">
        <v>2000</v>
      </c>
      <c r="N36" s="11">
        <f t="shared" si="22"/>
        <v>24000</v>
      </c>
    </row>
    <row r="37" spans="1:14" ht="22.5" customHeight="1" thickBot="1" x14ac:dyDescent="0.3">
      <c r="A37" s="4" t="s">
        <v>42</v>
      </c>
      <c r="B37" s="11">
        <f>1140</f>
        <v>1140</v>
      </c>
      <c r="C37" s="11">
        <f>1140</f>
        <v>1140</v>
      </c>
      <c r="D37" s="11">
        <v>1140</v>
      </c>
      <c r="E37" s="11">
        <v>1140</v>
      </c>
      <c r="F37" s="11">
        <v>1140</v>
      </c>
      <c r="G37" s="11">
        <v>1140</v>
      </c>
      <c r="H37" s="11">
        <v>0</v>
      </c>
      <c r="I37" s="11">
        <f>1140</f>
        <v>1140</v>
      </c>
      <c r="J37" s="11">
        <f>1140</f>
        <v>1140</v>
      </c>
      <c r="K37" s="11">
        <f>1140</f>
        <v>1140</v>
      </c>
      <c r="L37" s="11">
        <f>1140</f>
        <v>1140</v>
      </c>
      <c r="M37" s="11">
        <f>1140</f>
        <v>1140</v>
      </c>
      <c r="N37" s="11">
        <f t="shared" si="22"/>
        <v>12540</v>
      </c>
    </row>
    <row r="38" spans="1:14" ht="21.75" customHeight="1" thickBot="1" x14ac:dyDescent="0.3">
      <c r="A38" s="4" t="s">
        <v>25</v>
      </c>
      <c r="B38" s="11">
        <v>4150</v>
      </c>
      <c r="C38" s="11">
        <v>3420</v>
      </c>
      <c r="D38" s="11">
        <v>3990</v>
      </c>
      <c r="E38" s="11">
        <v>4615</v>
      </c>
      <c r="F38" s="11">
        <v>4275</v>
      </c>
      <c r="G38" s="11">
        <v>4312</v>
      </c>
      <c r="H38" s="11">
        <v>4465</v>
      </c>
      <c r="I38" s="11">
        <v>3800</v>
      </c>
      <c r="J38" s="11">
        <v>3795</v>
      </c>
      <c r="K38" s="11">
        <v>5165</v>
      </c>
      <c r="L38" s="11">
        <v>3870</v>
      </c>
      <c r="M38" s="11">
        <v>3780</v>
      </c>
      <c r="N38" s="11">
        <f t="shared" si="22"/>
        <v>49637</v>
      </c>
    </row>
    <row r="39" spans="1:14" ht="24" customHeight="1" thickBot="1" x14ac:dyDescent="0.3">
      <c r="A39" s="4" t="s">
        <v>10</v>
      </c>
      <c r="B39" s="11">
        <f>2339.21+1137.1</f>
        <v>3476.31</v>
      </c>
      <c r="C39" s="11">
        <f>4000</f>
        <v>4000</v>
      </c>
      <c r="D39" s="11">
        <f>394.4+12499.74</f>
        <v>12894.14</v>
      </c>
      <c r="E39" s="11">
        <f>5000</f>
        <v>5000</v>
      </c>
      <c r="F39" s="11">
        <f>843.9+73400</f>
        <v>74243.899999999994</v>
      </c>
      <c r="G39" s="11">
        <f>6276.9+11388.1+538.6+1501.2</f>
        <v>19704.8</v>
      </c>
      <c r="H39" s="11">
        <f>2103.2</f>
        <v>2103.1999999999998</v>
      </c>
      <c r="I39" s="11">
        <f>10436+1770+996.4</f>
        <v>13202.4</v>
      </c>
      <c r="J39" s="11">
        <v>0</v>
      </c>
      <c r="K39" s="11">
        <f>19722.89+65+84900+500</f>
        <v>105187.89</v>
      </c>
      <c r="L39" s="11">
        <f>12662.1+1572.2</f>
        <v>14234.300000000001</v>
      </c>
      <c r="M39" s="11">
        <v>0</v>
      </c>
      <c r="N39" s="11">
        <f t="shared" si="22"/>
        <v>254046.94</v>
      </c>
    </row>
    <row r="40" spans="1:14" ht="22.5" customHeight="1" thickBot="1" x14ac:dyDescent="0.3">
      <c r="A40" s="9" t="s">
        <v>23</v>
      </c>
      <c r="B40" s="10">
        <f>SUM(B26:B39)</f>
        <v>59333.640329999995</v>
      </c>
      <c r="C40" s="10">
        <f t="shared" ref="C40:J40" si="26">SUM(C26:C39)</f>
        <v>55900.205369999996</v>
      </c>
      <c r="D40" s="10">
        <f t="shared" si="26"/>
        <v>65842.393489999988</v>
      </c>
      <c r="E40" s="10">
        <f t="shared" si="26"/>
        <v>57215.185859999998</v>
      </c>
      <c r="F40" s="10">
        <f t="shared" si="26"/>
        <v>122665.75008999999</v>
      </c>
      <c r="G40" s="10">
        <f t="shared" si="26"/>
        <v>77855.351289999991</v>
      </c>
      <c r="H40" s="10">
        <f t="shared" si="26"/>
        <v>55410.833500000001</v>
      </c>
      <c r="I40" s="10">
        <f t="shared" si="26"/>
        <v>65629.101949999997</v>
      </c>
      <c r="J40" s="10">
        <f t="shared" si="26"/>
        <v>52977.007500000007</v>
      </c>
      <c r="K40" s="10">
        <f t="shared" ref="K40:M40" si="27">SUM(K26:K39)</f>
        <v>160536.14723</v>
      </c>
      <c r="L40" s="10">
        <f t="shared" si="27"/>
        <v>66600.066950000008</v>
      </c>
      <c r="M40" s="10">
        <f t="shared" si="27"/>
        <v>53514.48762</v>
      </c>
      <c r="N40" s="10">
        <f>SUM(B40:M40)</f>
        <v>893480.17117999995</v>
      </c>
    </row>
    <row r="41" spans="1:14" ht="23.25" customHeight="1" thickBot="1" x14ac:dyDescent="0.3">
      <c r="A41" s="4" t="s">
        <v>5</v>
      </c>
      <c r="B41" s="18">
        <f t="shared" ref="B41:N41" si="28">B16-B40</f>
        <v>3697.6996700000091</v>
      </c>
      <c r="C41" s="18">
        <f t="shared" si="28"/>
        <v>2635.4146300000139</v>
      </c>
      <c r="D41" s="18">
        <f t="shared" si="28"/>
        <v>-2297.0734899999807</v>
      </c>
      <c r="E41" s="18">
        <f t="shared" si="28"/>
        <v>16666.344140000016</v>
      </c>
      <c r="F41" s="18">
        <f t="shared" si="28"/>
        <v>-60231.750090000001</v>
      </c>
      <c r="G41" s="18">
        <f t="shared" si="28"/>
        <v>-11341.741289999991</v>
      </c>
      <c r="H41" s="18">
        <f t="shared" si="28"/>
        <v>12929.646499999995</v>
      </c>
      <c r="I41" s="18">
        <f t="shared" si="28"/>
        <v>-3050.1019500000039</v>
      </c>
      <c r="J41" s="18">
        <f t="shared" si="28"/>
        <v>16443.122499999998</v>
      </c>
      <c r="K41" s="18">
        <f t="shared" si="28"/>
        <v>-87889.377229999998</v>
      </c>
      <c r="L41" s="18">
        <f t="shared" si="28"/>
        <v>2803.0330499999836</v>
      </c>
      <c r="M41" s="18">
        <f t="shared" si="28"/>
        <v>18850.122380000001</v>
      </c>
      <c r="N41" s="11">
        <f t="shared" si="28"/>
        <v>-90784.661179999937</v>
      </c>
    </row>
    <row r="42" spans="1:14" ht="23.25" customHeight="1" thickBot="1" x14ac:dyDescent="0.3">
      <c r="A42" s="4" t="s">
        <v>7</v>
      </c>
      <c r="B42" s="14">
        <f t="shared" ref="B42:N42" si="29">B5+B41</f>
        <v>-131636.87033000001</v>
      </c>
      <c r="C42" s="14">
        <f t="shared" si="29"/>
        <v>-129001.45569999999</v>
      </c>
      <c r="D42" s="14">
        <f t="shared" si="29"/>
        <v>-131298.52918999997</v>
      </c>
      <c r="E42" s="14">
        <f t="shared" si="29"/>
        <v>-114632.18504999996</v>
      </c>
      <c r="F42" s="14">
        <f t="shared" si="29"/>
        <v>-174863.93513999996</v>
      </c>
      <c r="G42" s="14">
        <f t="shared" si="29"/>
        <v>-186205.67642999993</v>
      </c>
      <c r="H42" s="14">
        <f t="shared" si="29"/>
        <v>-173276.02992999993</v>
      </c>
      <c r="I42" s="14">
        <f t="shared" si="29"/>
        <v>-176326.13187999994</v>
      </c>
      <c r="J42" s="14">
        <f t="shared" si="29"/>
        <v>-159883.00937999994</v>
      </c>
      <c r="K42" s="14">
        <f t="shared" si="29"/>
        <v>-247772.38660999993</v>
      </c>
      <c r="L42" s="14">
        <f t="shared" si="29"/>
        <v>-244969.35355999996</v>
      </c>
      <c r="M42" s="14">
        <f t="shared" si="29"/>
        <v>-226119.23117999994</v>
      </c>
      <c r="N42" s="14">
        <f t="shared" si="29"/>
        <v>-226119.23117999994</v>
      </c>
    </row>
    <row r="43" spans="1:14" ht="27" customHeight="1" thickBot="1" x14ac:dyDescent="0.3">
      <c r="A43" s="15" t="s">
        <v>11</v>
      </c>
      <c r="B43" s="19">
        <f t="shared" ref="B43:N43" si="30">B6+B16-B7</f>
        <v>-116639.53</v>
      </c>
      <c r="C43" s="19">
        <f t="shared" si="30"/>
        <v>-128231.20999999999</v>
      </c>
      <c r="D43" s="19">
        <f t="shared" si="30"/>
        <v>-131626.63999999998</v>
      </c>
      <c r="E43" s="19">
        <f t="shared" si="30"/>
        <v>-125184.99999999997</v>
      </c>
      <c r="F43" s="19">
        <f t="shared" si="30"/>
        <v>-128461.08999999998</v>
      </c>
      <c r="G43" s="19">
        <f t="shared" si="30"/>
        <v>-124586.70999999999</v>
      </c>
      <c r="H43" s="19">
        <f t="shared" si="30"/>
        <v>-128479.09</v>
      </c>
      <c r="I43" s="19">
        <f t="shared" si="30"/>
        <v>-141774.15</v>
      </c>
      <c r="J43" s="19">
        <f t="shared" si="30"/>
        <v>-142009.78</v>
      </c>
      <c r="K43" s="19">
        <f t="shared" si="30"/>
        <v>-138431.58000000002</v>
      </c>
      <c r="L43" s="19">
        <f t="shared" si="30"/>
        <v>-140239.91000000003</v>
      </c>
      <c r="M43" s="19">
        <f t="shared" si="30"/>
        <v>-137281.82000000004</v>
      </c>
      <c r="N43" s="19">
        <f t="shared" si="30"/>
        <v>-137281.82000000018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2022-03-17T06:04:47Z</cp:lastPrinted>
  <dcterms:created xsi:type="dcterms:W3CDTF">2011-06-06T03:25:48Z</dcterms:created>
  <dcterms:modified xsi:type="dcterms:W3CDTF">2022-03-17T06:07:11Z</dcterms:modified>
</cp:coreProperties>
</file>