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20" i="1" l="1"/>
  <c r="M23" i="1"/>
  <c r="M12" i="1"/>
  <c r="M14" i="1"/>
  <c r="L21" i="1"/>
  <c r="L23" i="1"/>
  <c r="L14" i="1"/>
  <c r="K21" i="1"/>
  <c r="K23" i="1"/>
  <c r="K14" i="1"/>
  <c r="M39" i="1" l="1"/>
  <c r="K39" i="1" l="1"/>
  <c r="M38" i="1" l="1"/>
  <c r="L38" i="1" l="1"/>
  <c r="K38" i="1" l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L35" i="1" l="1"/>
  <c r="M35" i="1"/>
  <c r="K35" i="1"/>
  <c r="L30" i="1"/>
  <c r="M30" i="1"/>
  <c r="K30" i="1"/>
  <c r="K27" i="1"/>
  <c r="L27" i="1"/>
  <c r="M27" i="1"/>
  <c r="K26" i="1"/>
  <c r="L26" i="1"/>
  <c r="M26" i="1"/>
  <c r="J19" i="1" l="1"/>
  <c r="J21" i="1"/>
  <c r="J23" i="1"/>
  <c r="J12" i="1"/>
  <c r="J14" i="1"/>
  <c r="I21" i="1"/>
  <c r="I23" i="1"/>
  <c r="I12" i="1"/>
  <c r="I14" i="1"/>
  <c r="H12" i="1"/>
  <c r="H14" i="1"/>
  <c r="C35" i="1" l="1"/>
  <c r="D35" i="1"/>
  <c r="E35" i="1"/>
  <c r="F35" i="1"/>
  <c r="G35" i="1"/>
  <c r="H35" i="1"/>
  <c r="I35" i="1"/>
  <c r="J35" i="1"/>
  <c r="B35" i="1"/>
  <c r="I39" i="1" l="1"/>
  <c r="J38" i="1" l="1"/>
  <c r="H39" i="1" l="1"/>
  <c r="I38" i="1" l="1"/>
  <c r="H38" i="1" l="1"/>
  <c r="J29" i="1" l="1"/>
  <c r="J17" i="1"/>
  <c r="J28" i="1"/>
  <c r="J8" i="1"/>
  <c r="I29" i="1" l="1"/>
  <c r="I17" i="1"/>
  <c r="I28" i="1"/>
  <c r="I8" i="1"/>
  <c r="H29" i="1" l="1"/>
  <c r="H17" i="1"/>
  <c r="H28" i="1"/>
  <c r="H8" i="1"/>
  <c r="H27" i="1" l="1"/>
  <c r="I27" i="1"/>
  <c r="J27" i="1"/>
  <c r="H26" i="1"/>
  <c r="I26" i="1"/>
  <c r="J26" i="1"/>
  <c r="G39" i="1" l="1"/>
  <c r="E38" i="1" l="1"/>
  <c r="F39" i="1" l="1"/>
  <c r="E39" i="1" l="1"/>
  <c r="E31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27" i="1" l="1"/>
  <c r="F27" i="1"/>
  <c r="G27" i="1"/>
  <c r="E26" i="1"/>
  <c r="F26" i="1"/>
  <c r="G26" i="1"/>
  <c r="D38" i="1" l="1"/>
  <c r="C38" i="1"/>
  <c r="C31" i="1" l="1"/>
  <c r="B31" i="1"/>
  <c r="D39" i="1" l="1"/>
  <c r="B38" i="1" l="1"/>
  <c r="D29" i="1" l="1"/>
  <c r="D17" i="1"/>
  <c r="D28" i="1"/>
  <c r="D8" i="1"/>
  <c r="C29" i="1" l="1"/>
  <c r="C17" i="1"/>
  <c r="C28" i="1"/>
  <c r="C8" i="1"/>
  <c r="C39" i="1" l="1"/>
  <c r="B29" i="1" l="1"/>
  <c r="B17" i="1"/>
  <c r="B28" i="1"/>
  <c r="B8" i="1"/>
  <c r="C27" i="1" l="1"/>
  <c r="D27" i="1"/>
  <c r="C26" i="1"/>
  <c r="D26" i="1"/>
  <c r="B27" i="1"/>
  <c r="B26" i="1"/>
  <c r="N12" i="1" l="1"/>
  <c r="N13" i="1"/>
  <c r="N14" i="1"/>
  <c r="N15" i="1"/>
  <c r="N11" i="1"/>
  <c r="N9" i="1"/>
  <c r="N18" i="1" l="1"/>
  <c r="N6" i="1" l="1"/>
  <c r="N5" i="1"/>
  <c r="N17" i="1" l="1"/>
  <c r="N8" i="1"/>
  <c r="N26" i="1"/>
  <c r="N27" i="1"/>
  <c r="N30" i="1"/>
  <c r="N31" i="1"/>
  <c r="N32" i="1"/>
  <c r="N33" i="1"/>
  <c r="N34" i="1"/>
  <c r="N35" i="1"/>
  <c r="N36" i="1"/>
  <c r="N37" i="1"/>
  <c r="N38" i="1"/>
  <c r="N19" i="1"/>
  <c r="N20" i="1"/>
  <c r="N21" i="1"/>
  <c r="N22" i="1"/>
  <c r="N23" i="1"/>
  <c r="N24" i="1"/>
  <c r="K16" i="1"/>
  <c r="L16" i="1"/>
  <c r="M16" i="1"/>
  <c r="N10" i="1"/>
  <c r="K7" i="1"/>
  <c r="L7" i="1"/>
  <c r="M7" i="1"/>
  <c r="L40" i="1" l="1"/>
  <c r="L41" i="1" s="1"/>
  <c r="M40" i="1"/>
  <c r="M41" i="1" s="1"/>
  <c r="K40" i="1"/>
  <c r="K41" i="1" s="1"/>
  <c r="N39" i="1"/>
  <c r="H16" i="1" l="1"/>
  <c r="I16" i="1"/>
  <c r="J16" i="1"/>
  <c r="H7" i="1"/>
  <c r="I7" i="1"/>
  <c r="J7" i="1"/>
  <c r="F16" i="1"/>
  <c r="N29" i="1"/>
  <c r="B7" i="1"/>
  <c r="D16" i="1"/>
  <c r="D40" i="1" s="1"/>
  <c r="D41" i="1" s="1"/>
  <c r="D7" i="1"/>
  <c r="C16" i="1"/>
  <c r="C7" i="1"/>
  <c r="B16" i="1"/>
  <c r="C40" i="1" l="1"/>
  <c r="C41" i="1" s="1"/>
  <c r="H40" i="1"/>
  <c r="N28" i="1"/>
  <c r="G16" i="1"/>
  <c r="G7" i="1"/>
  <c r="E16" i="1"/>
  <c r="F7" i="1"/>
  <c r="J40" i="1"/>
  <c r="I40" i="1"/>
  <c r="I41" i="1" s="1"/>
  <c r="E7" i="1"/>
  <c r="B43" i="1"/>
  <c r="C6" i="1" s="1"/>
  <c r="C43" i="1" s="1"/>
  <c r="D6" i="1" s="1"/>
  <c r="D43" i="1" s="1"/>
  <c r="G40" i="1" l="1"/>
  <c r="G41" i="1" s="1"/>
  <c r="E40" i="1"/>
  <c r="E41" i="1" s="1"/>
  <c r="N7" i="1"/>
  <c r="N16" i="1"/>
  <c r="H41" i="1"/>
  <c r="E6" i="1"/>
  <c r="E43" i="1" s="1"/>
  <c r="F6" i="1" s="1"/>
  <c r="B40" i="1"/>
  <c r="B41" i="1" s="1"/>
  <c r="B42" i="1" s="1"/>
  <c r="C5" i="1" s="1"/>
  <c r="C42" i="1" s="1"/>
  <c r="J41" i="1"/>
  <c r="F40" i="1"/>
  <c r="F41" i="1" s="1"/>
  <c r="N40" i="1" l="1"/>
  <c r="N41" i="1" s="1"/>
  <c r="N42" i="1" s="1"/>
  <c r="F43" i="1"/>
  <c r="G6" i="1" s="1"/>
  <c r="N43" i="1"/>
  <c r="G43" i="1" l="1"/>
  <c r="H6" i="1" s="1"/>
  <c r="D5" i="1"/>
  <c r="D42" i="1" l="1"/>
  <c r="E5" i="1" s="1"/>
  <c r="E42" i="1" s="1"/>
  <c r="F5" i="1" s="1"/>
  <c r="F42" i="1" s="1"/>
  <c r="H43" i="1"/>
  <c r="I6" i="1" s="1"/>
  <c r="I43" i="1" l="1"/>
  <c r="J6" i="1" s="1"/>
  <c r="G5" i="1"/>
  <c r="G42" i="1" s="1"/>
  <c r="J43" i="1" l="1"/>
  <c r="K6" i="1" s="1"/>
  <c r="H5" i="1"/>
  <c r="H42" i="1" s="1"/>
  <c r="K43" i="1" l="1"/>
  <c r="L6" i="1" s="1"/>
  <c r="I5" i="1"/>
  <c r="I42" i="1" s="1"/>
  <c r="L43" i="1" l="1"/>
  <c r="M6" i="1" s="1"/>
  <c r="M43" i="1" s="1"/>
  <c r="J5" i="1"/>
  <c r="J42" i="1" s="1"/>
  <c r="K5" i="1" l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<sst xmlns="http://schemas.openxmlformats.org/spreadsheetml/2006/main" count="54" uniqueCount="44">
  <si>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</si>
  <si>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</si>
  <si>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</si>
  <si>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</si>
  <si>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</si>
  <si>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</si>
  <si>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</si>
  <si>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</si>
  <si>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</si>
  <si>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</si>
  <si>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</si>
  <si>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</si>
  <si>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</si>
  <si>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</si>
  <si>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</si>
  <si>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</si>
  <si>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</si>
  <si>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</si>
  <si>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</si>
  <si>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</si>
  <si>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</si>
  <si>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</si>
  <si>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</si>
  <si>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</si>
  <si>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</si>
  <si>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</si>
  <si>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</si>
  <si>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>Отведение сточных вод ОИ</t>
  </si>
  <si>
    <t>Тех.обслуживание общедомовых приборов учета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</si>
  <si>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</si>
  <si>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</si>
  <si>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</si>
  <si>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</si>
  <si>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</si>
  <si>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</si>
  <si>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</si>
  <si>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</si>
  <si>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</si>
  <si>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</t>
  </si>
  <si>
    <t>Ноябрь 2021г</t>
  </si>
  <si>
    <t>Декабрь 2021г</t>
  </si>
  <si>
    <t>Всего:                       за  2021г.</t>
  </si>
  <si>
    <t xml:space="preserve">                 ОТЧЕТ по дому Матросова, 61 за период 01.01.2021г. по 31.12.2021г.</t>
  </si>
  <si>
    <t xml:space="preserve">Содержание жилья и текущий ремонт,  ОПУ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</si>
</sst>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5546875" customWidth="1"/>
    <col min="2" max="2" width="14.109375" customWidth="1"/>
    <col min="3" max="3" width="14.33203125" customWidth="1"/>
    <col min="4" max="5" width="14.109375" customWidth="1"/>
    <col min="6" max="6" width="14.33203125" customWidth="1"/>
    <col min="7" max="7" width="13.88671875" customWidth="1"/>
    <col min="8" max="9" width="14.5546875" customWidth="1"/>
    <col min="10" max="13" width="14" customWidth="1"/>
    <col min="14" max="14" width="16.33203125" customWidth="1"/>
  </cols>
  <sheetData>
    <row r="1" spans="1:18" ht="20.25" customHeight="1" x14ac:dyDescent="0.35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16</v>
      </c>
      <c r="B5" s="8">
        <v>-313998.36</v>
      </c>
      <c r="C5" s="8">
        <f t="shared" ref="C5:D6" si="0">B42</f>
        <v>-309983.05307999998</v>
      </c>
      <c r="D5" s="8">
        <f t="shared" si="0"/>
        <v>-336066.11268999998</v>
      </c>
      <c r="E5" s="8">
        <f t="shared" ref="E5:G6" si="1">D42</f>
        <v>-345630.31565999996</v>
      </c>
      <c r="F5" s="8">
        <f t="shared" si="1"/>
        <v>-355498.64297999995</v>
      </c>
      <c r="G5" s="8">
        <f t="shared" si="1"/>
        <v>-423777.07459999993</v>
      </c>
      <c r="H5" s="8">
        <f t="shared" ref="H5:H6" si="2">G42</f>
        <v>-464607.44887999992</v>
      </c>
      <c r="I5" s="8">
        <f t="shared" ref="I5:I6" si="3">H42</f>
        <v>-472403.57566999993</v>
      </c>
      <c r="J5" s="8">
        <f t="shared" ref="J5:J6" si="4">I42</f>
        <v>-464435.53621999995</v>
      </c>
      <c r="K5" s="8">
        <f t="shared" ref="K5:K6" si="5">J42</f>
        <v>-429542.39696999994</v>
      </c>
      <c r="L5" s="8">
        <f t="shared" ref="L5:L6" si="6">K42</f>
        <v>-425426.32975999994</v>
      </c>
      <c r="M5" s="8">
        <f t="shared" ref="M5:M6" si="7">L42</f>
        <v>-417531.78730999993</v>
      </c>
      <c r="N5" s="8">
        <f>B5</f>
        <v>-313998.36</v>
      </c>
    </row>
    <row r="6" spans="1:18" ht="21" customHeight="1" thickBot="1" x14ac:dyDescent="0.3">
      <c r="A6" s="7" t="s">
        <v>13</v>
      </c>
      <c r="B6" s="8">
        <v>-217323.75</v>
      </c>
      <c r="C6" s="8">
        <f t="shared" si="0"/>
        <v>-225179.64</v>
      </c>
      <c r="D6" s="8">
        <f t="shared" si="0"/>
        <v>-229288.24</v>
      </c>
      <c r="E6" s="8">
        <f t="shared" si="1"/>
        <v>-243058.96</v>
      </c>
      <c r="F6" s="8">
        <f t="shared" si="1"/>
        <v>-235137.68999999997</v>
      </c>
      <c r="G6" s="8">
        <f t="shared" si="1"/>
        <v>-268100.3</v>
      </c>
      <c r="H6" s="8">
        <f t="shared" si="2"/>
        <v>-247148.53</v>
      </c>
      <c r="I6" s="8">
        <f t="shared" si="3"/>
        <v>-261170.63</v>
      </c>
      <c r="J6" s="8">
        <f t="shared" si="4"/>
        <v>-257921.27000000002</v>
      </c>
      <c r="K6" s="8">
        <f t="shared" si="5"/>
        <v>-233844.21000000002</v>
      </c>
      <c r="L6" s="8">
        <f t="shared" si="6"/>
        <v>-232879.74000000005</v>
      </c>
      <c r="M6" s="8">
        <f t="shared" si="7"/>
        <v>-238637.03000000006</v>
      </c>
      <c r="N6" s="8">
        <f>B6</f>
        <v>-217323.75</v>
      </c>
    </row>
    <row r="7" spans="1:18" ht="20.25" customHeight="1" thickBot="1" x14ac:dyDescent="0.3">
      <c r="A7" s="9" t="s">
        <v>12</v>
      </c>
      <c r="B7" s="10">
        <f t="shared" ref="B7:M7" si="8">SUM(B8:B15)</f>
        <v>42182.270000000004</v>
      </c>
      <c r="C7" s="10">
        <f t="shared" si="8"/>
        <v>40653.18</v>
      </c>
      <c r="D7" s="10">
        <f t="shared" si="8"/>
        <v>36575.94</v>
      </c>
      <c r="E7" s="10">
        <f t="shared" si="8"/>
        <v>37702.22</v>
      </c>
      <c r="F7" s="10">
        <f t="shared" si="8"/>
        <v>51689.890000000007</v>
      </c>
      <c r="G7" s="10">
        <f t="shared" si="8"/>
        <v>38560.06</v>
      </c>
      <c r="H7" s="10">
        <f t="shared" si="8"/>
        <v>39140.36</v>
      </c>
      <c r="I7" s="10">
        <f t="shared" si="8"/>
        <v>40264.380000000005</v>
      </c>
      <c r="J7" s="10">
        <f t="shared" si="8"/>
        <v>38989.050000000003</v>
      </c>
      <c r="K7" s="10">
        <f t="shared" si="8"/>
        <v>44973.140000000007</v>
      </c>
      <c r="L7" s="10">
        <f t="shared" si="8"/>
        <v>45820.360000000008</v>
      </c>
      <c r="M7" s="10">
        <f t="shared" si="8"/>
        <v>46396.240000000005</v>
      </c>
      <c r="N7" s="10">
        <f>SUM(B7:M7)</f>
        <v>502947.09</v>
      </c>
    </row>
    <row r="8" spans="1:18" ht="24.75" customHeight="1" thickBot="1" x14ac:dyDescent="0.3">
      <c r="A8" s="4" t="s">
        <v>43</v>
      </c>
      <c r="B8" s="11">
        <f t="shared" ref="B8:G8" si="9">21456.2+438.22+1943.92</f>
        <v>23838.340000000004</v>
      </c>
      <c r="C8" s="11">
        <f t="shared" si="9"/>
        <v>23838.340000000004</v>
      </c>
      <c r="D8" s="11">
        <f t="shared" si="9"/>
        <v>23838.340000000004</v>
      </c>
      <c r="E8" s="11">
        <f t="shared" si="9"/>
        <v>23838.340000000004</v>
      </c>
      <c r="F8" s="11">
        <f t="shared" si="9"/>
        <v>23838.340000000004</v>
      </c>
      <c r="G8" s="11">
        <f t="shared" si="9"/>
        <v>23838.340000000004</v>
      </c>
      <c r="H8" s="11">
        <f>21456.2+438.22+1943.92</f>
        <v>23838.340000000004</v>
      </c>
      <c r="I8" s="11">
        <f>21456.2+438.22+1943.92</f>
        <v>23838.340000000004</v>
      </c>
      <c r="J8" s="11">
        <f>21456.2+438.22+1943.92</f>
        <v>23838.340000000004</v>
      </c>
      <c r="K8" s="11">
        <f>26502.91+438.22+1943.92</f>
        <v>28885.050000000003</v>
      </c>
      <c r="L8" s="11">
        <f>26502.91+438.22+1943.92</f>
        <v>28885.050000000003</v>
      </c>
      <c r="M8" s="11">
        <f>26502.91+438.22+1943.92</f>
        <v>28885.050000000003</v>
      </c>
      <c r="N8" s="11">
        <f>SUM(B8:M8)</f>
        <v>301200.20999999996</v>
      </c>
    </row>
    <row r="9" spans="1:18" ht="24.75" customHeight="1" thickBot="1" x14ac:dyDescent="0.3">
      <c r="A9" s="4" t="s">
        <v>17</v>
      </c>
      <c r="B9" s="11">
        <v>13048.38</v>
      </c>
      <c r="C9" s="11">
        <v>13048.38</v>
      </c>
      <c r="D9" s="11">
        <v>13048.38</v>
      </c>
      <c r="E9" s="11">
        <v>13048.38</v>
      </c>
      <c r="F9" s="11">
        <v>13048.38</v>
      </c>
      <c r="G9" s="11">
        <v>13048.38</v>
      </c>
      <c r="H9" s="11">
        <v>13048.38</v>
      </c>
      <c r="I9" s="11">
        <v>13048.38</v>
      </c>
      <c r="J9" s="11">
        <v>13048.38</v>
      </c>
      <c r="K9" s="11">
        <v>16117.51</v>
      </c>
      <c r="L9" s="11">
        <v>16117.51</v>
      </c>
      <c r="M9" s="11">
        <v>16117.51</v>
      </c>
      <c r="N9" s="11">
        <f>SUM(B9:M9)</f>
        <v>165787.95000000004</v>
      </c>
    </row>
    <row r="10" spans="1:18" ht="24.75" customHeight="1" thickBot="1" x14ac:dyDescent="0.3">
      <c r="A10" s="4" t="s">
        <v>18</v>
      </c>
      <c r="B10" s="11">
        <v>2582.0500000000002</v>
      </c>
      <c r="C10" s="11">
        <v>833.79</v>
      </c>
      <c r="D10" s="11">
        <v>721.72</v>
      </c>
      <c r="E10" s="11">
        <v>0</v>
      </c>
      <c r="F10" s="11">
        <v>6278.27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ref="N10" si="10">SUM(B10:M10)</f>
        <v>10415.830000000002</v>
      </c>
    </row>
    <row r="11" spans="1:18" ht="24.75" customHeight="1" thickBot="1" x14ac:dyDescent="0.3">
      <c r="A11" s="4" t="s">
        <v>19</v>
      </c>
      <c r="B11" s="11">
        <v>0</v>
      </c>
      <c r="C11" s="11">
        <v>219.17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-847.22</v>
      </c>
      <c r="L11" s="11">
        <v>0</v>
      </c>
      <c r="M11" s="11">
        <v>0</v>
      </c>
      <c r="N11" s="11">
        <f>SUM(B11:M11)</f>
        <v>-628.05000000000007</v>
      </c>
    </row>
    <row r="12" spans="1:18" ht="24.75" customHeight="1" thickBot="1" x14ac:dyDescent="0.3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7709.4</v>
      </c>
      <c r="G12" s="11">
        <v>857.84</v>
      </c>
      <c r="H12" s="11">
        <f>893.69+542.15</f>
        <v>1435.8400000000001</v>
      </c>
      <c r="I12" s="11">
        <f>1595.01+964.85</f>
        <v>2559.86</v>
      </c>
      <c r="J12" s="11">
        <f>797.51+487.02</f>
        <v>1284.53</v>
      </c>
      <c r="K12" s="11">
        <v>0</v>
      </c>
      <c r="L12" s="11">
        <v>0</v>
      </c>
      <c r="M12" s="11">
        <f>355.34+220.54</f>
        <v>575.88</v>
      </c>
      <c r="N12" s="11">
        <f t="shared" ref="N12:N15" si="11">SUM(B12:M12)</f>
        <v>14423.35</v>
      </c>
    </row>
    <row r="13" spans="1:18" ht="24.75" customHeight="1" thickBot="1" x14ac:dyDescent="0.3">
      <c r="A13" s="4" t="s">
        <v>26</v>
      </c>
      <c r="B13" s="11">
        <v>1898</v>
      </c>
      <c r="C13" s="11">
        <v>1898</v>
      </c>
      <c r="D13" s="11">
        <v>-1848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 t="shared" si="11"/>
        <v>1948</v>
      </c>
    </row>
    <row r="14" spans="1:18" ht="24.75" customHeight="1" thickBot="1" x14ac:dyDescent="0.3">
      <c r="A14" s="4" t="s">
        <v>27</v>
      </c>
      <c r="B14" s="11">
        <v>215.5</v>
      </c>
      <c r="C14" s="11">
        <v>215.5</v>
      </c>
      <c r="D14" s="11">
        <v>215.5</v>
      </c>
      <c r="E14" s="11">
        <v>215.5</v>
      </c>
      <c r="F14" s="11">
        <v>215.5</v>
      </c>
      <c r="G14" s="11">
        <v>215.5</v>
      </c>
      <c r="H14" s="11">
        <f>135.1+82.7</f>
        <v>217.8</v>
      </c>
      <c r="I14" s="11">
        <f>135.1+82.7</f>
        <v>217.8</v>
      </c>
      <c r="J14" s="11">
        <f>135.1+82.7</f>
        <v>217.8</v>
      </c>
      <c r="K14" s="11">
        <f>135.1+82.7</f>
        <v>217.8</v>
      </c>
      <c r="L14" s="11">
        <f>135.1+82.7</f>
        <v>217.8</v>
      </c>
      <c r="M14" s="11">
        <f>135.1+82.7</f>
        <v>217.8</v>
      </c>
      <c r="N14" s="11">
        <f t="shared" si="11"/>
        <v>2599.8000000000002</v>
      </c>
    </row>
    <row r="15" spans="1:18" ht="24.75" customHeight="1" thickBot="1" x14ac:dyDescent="0.3">
      <c r="A15" s="4" t="s">
        <v>15</v>
      </c>
      <c r="B15" s="11">
        <v>600</v>
      </c>
      <c r="C15" s="11">
        <v>600</v>
      </c>
      <c r="D15" s="11">
        <v>600</v>
      </c>
      <c r="E15" s="11">
        <v>600</v>
      </c>
      <c r="F15" s="11">
        <v>600</v>
      </c>
      <c r="G15" s="11">
        <v>600</v>
      </c>
      <c r="H15" s="11">
        <v>600</v>
      </c>
      <c r="I15" s="11">
        <v>600</v>
      </c>
      <c r="J15" s="11">
        <v>600</v>
      </c>
      <c r="K15" s="11">
        <v>600</v>
      </c>
      <c r="L15" s="11">
        <v>600</v>
      </c>
      <c r="M15" s="11">
        <v>600</v>
      </c>
      <c r="N15" s="11">
        <f t="shared" si="11"/>
        <v>7200</v>
      </c>
    </row>
    <row r="16" spans="1:18" ht="20.25" customHeight="1" thickBot="1" x14ac:dyDescent="0.3">
      <c r="A16" s="12" t="s">
        <v>8</v>
      </c>
      <c r="B16" s="13">
        <f t="shared" ref="B16:M16" si="12">SUM(B17:B24)</f>
        <v>34326.379999999997</v>
      </c>
      <c r="C16" s="13">
        <f t="shared" si="12"/>
        <v>36544.58</v>
      </c>
      <c r="D16" s="13">
        <f t="shared" si="12"/>
        <v>22805.219999999998</v>
      </c>
      <c r="E16" s="13">
        <f t="shared" si="12"/>
        <v>45623.490000000005</v>
      </c>
      <c r="F16" s="13">
        <f t="shared" si="12"/>
        <v>18727.28</v>
      </c>
      <c r="G16" s="13">
        <f t="shared" si="12"/>
        <v>59511.829999999994</v>
      </c>
      <c r="H16" s="13">
        <f t="shared" si="12"/>
        <v>25118.26</v>
      </c>
      <c r="I16" s="13">
        <f t="shared" si="12"/>
        <v>43513.74</v>
      </c>
      <c r="J16" s="13">
        <f t="shared" si="12"/>
        <v>63066.109999999993</v>
      </c>
      <c r="K16" s="13">
        <f t="shared" si="12"/>
        <v>45937.61</v>
      </c>
      <c r="L16" s="13">
        <f t="shared" si="12"/>
        <v>40063.069999999992</v>
      </c>
      <c r="M16" s="13">
        <f t="shared" si="12"/>
        <v>54770.530000000006</v>
      </c>
      <c r="N16" s="13">
        <f>SUM(B16:M16)</f>
        <v>490008.1</v>
      </c>
    </row>
    <row r="17" spans="1:15" ht="24" customHeight="1" thickBot="1" x14ac:dyDescent="0.3">
      <c r="A17" s="4" t="s">
        <v>43</v>
      </c>
      <c r="B17" s="11">
        <f>16109.17+316.69+908.87</f>
        <v>17334.73</v>
      </c>
      <c r="C17" s="11">
        <f>17577.21+392.93+1030.39</f>
        <v>19000.53</v>
      </c>
      <c r="D17" s="11">
        <f>19283.69+408.6+1413.14+313.6+100</f>
        <v>21519.029999999995</v>
      </c>
      <c r="E17" s="11">
        <f>15753.95+329.68+942.61</f>
        <v>17026.240000000002</v>
      </c>
      <c r="F17" s="11">
        <f>16751.57+328.75+943.29</f>
        <v>18023.61</v>
      </c>
      <c r="G17" s="11">
        <f>23205.16+447.95+1272.06+327.27</f>
        <v>25252.440000000002</v>
      </c>
      <c r="H17" s="11">
        <f>21391.68+392.56+1633.66+288.51</f>
        <v>23706.41</v>
      </c>
      <c r="I17" s="11">
        <f>24079.72+328.87+2177.79+942.72</f>
        <v>27529.100000000002</v>
      </c>
      <c r="J17" s="11">
        <f>27605.97+353.27+1011.2</f>
        <v>28970.440000000002</v>
      </c>
      <c r="K17" s="11">
        <f>27419.05+405.22+1442.35+1154.7</f>
        <v>30421.32</v>
      </c>
      <c r="L17" s="11">
        <f>24131.07+355.09+1012.26</f>
        <v>25498.42</v>
      </c>
      <c r="M17" s="11">
        <f>25843.54+390.23+1114.47+59.15</f>
        <v>27407.390000000003</v>
      </c>
      <c r="N17" s="11">
        <f>SUM(B17:M17)</f>
        <v>281689.66000000003</v>
      </c>
    </row>
    <row r="18" spans="1:15" ht="26.25" customHeight="1" thickBot="1" x14ac:dyDescent="0.3">
      <c r="A18" s="4" t="s">
        <v>17</v>
      </c>
      <c r="B18" s="11">
        <v>13048.38</v>
      </c>
      <c r="C18" s="11">
        <v>13048.38</v>
      </c>
      <c r="D18" s="11">
        <v>0</v>
      </c>
      <c r="E18" s="11">
        <v>26096.76</v>
      </c>
      <c r="F18" s="11">
        <v>0</v>
      </c>
      <c r="G18" s="11">
        <v>26096.76</v>
      </c>
      <c r="H18" s="11">
        <v>0</v>
      </c>
      <c r="I18" s="11">
        <v>13048.38</v>
      </c>
      <c r="J18" s="11">
        <v>26096.76</v>
      </c>
      <c r="K18" s="11">
        <v>13048.38</v>
      </c>
      <c r="L18" s="11">
        <v>13048.38</v>
      </c>
      <c r="M18" s="11">
        <v>26096.76</v>
      </c>
      <c r="N18" s="11">
        <f>SUM(B18:M18)</f>
        <v>169628.94</v>
      </c>
    </row>
    <row r="19" spans="1:15" ht="26.25" customHeight="1" thickBot="1" x14ac:dyDescent="0.3">
      <c r="A19" s="4" t="s">
        <v>18</v>
      </c>
      <c r="B19" s="11">
        <v>1368.03</v>
      </c>
      <c r="C19" s="11">
        <v>1723.3</v>
      </c>
      <c r="D19" s="11">
        <v>437.72</v>
      </c>
      <c r="E19" s="11">
        <v>1632.07</v>
      </c>
      <c r="F19" s="11">
        <v>0</v>
      </c>
      <c r="G19" s="11">
        <v>3458.86</v>
      </c>
      <c r="H19" s="11">
        <v>134.13999999999999</v>
      </c>
      <c r="I19" s="11">
        <v>978.34</v>
      </c>
      <c r="J19" s="11">
        <f>27.6+2370.76</f>
        <v>2398.36</v>
      </c>
      <c r="K19" s="11">
        <v>38.72</v>
      </c>
      <c r="L19" s="11">
        <v>67.739999999999995</v>
      </c>
      <c r="M19" s="11">
        <v>108.05</v>
      </c>
      <c r="N19" s="11">
        <f t="shared" ref="N19:N24" si="13">SUM(B19:M19)</f>
        <v>12345.329999999998</v>
      </c>
    </row>
    <row r="20" spans="1:15" ht="26.25" customHeight="1" thickBot="1" x14ac:dyDescent="0.3">
      <c r="A20" s="4" t="s">
        <v>19</v>
      </c>
      <c r="B20" s="11">
        <v>456.46</v>
      </c>
      <c r="C20" s="11">
        <v>318.75</v>
      </c>
      <c r="D20" s="11">
        <v>114.5</v>
      </c>
      <c r="E20" s="11">
        <v>0.01</v>
      </c>
      <c r="F20" s="11">
        <v>0</v>
      </c>
      <c r="G20" s="11">
        <v>26.75</v>
      </c>
      <c r="H20" s="11">
        <v>20.37</v>
      </c>
      <c r="I20" s="11">
        <v>18.059999999999999</v>
      </c>
      <c r="J20" s="11">
        <v>2.5299999999999998</v>
      </c>
      <c r="K20" s="11">
        <v>4.9800000000000004</v>
      </c>
      <c r="L20" s="11">
        <v>4.5999999999999996</v>
      </c>
      <c r="M20" s="11">
        <f>2.19+82.7</f>
        <v>84.89</v>
      </c>
      <c r="N20" s="11">
        <f t="shared" si="13"/>
        <v>1051.9000000000001</v>
      </c>
    </row>
    <row r="21" spans="1:15" ht="26.25" customHeight="1" thickBot="1" x14ac:dyDescent="0.3">
      <c r="A21" s="4" t="s">
        <v>20</v>
      </c>
      <c r="B21" s="11">
        <v>19.18</v>
      </c>
      <c r="C21" s="11">
        <v>22.49</v>
      </c>
      <c r="D21" s="11">
        <v>21.64</v>
      </c>
      <c r="E21" s="11">
        <v>0</v>
      </c>
      <c r="F21" s="11">
        <v>0</v>
      </c>
      <c r="G21" s="11">
        <v>3767.99</v>
      </c>
      <c r="H21" s="11">
        <v>531.99</v>
      </c>
      <c r="I21" s="11">
        <f>812.5+321.62</f>
        <v>1134.1199999999999</v>
      </c>
      <c r="J21" s="11">
        <f>1264.79+2912.91+542.15</f>
        <v>4719.8499999999995</v>
      </c>
      <c r="K21" s="11">
        <f>663.96+964.85</f>
        <v>1628.81</v>
      </c>
      <c r="L21" s="11">
        <f>150.29+487.02</f>
        <v>637.30999999999995</v>
      </c>
      <c r="M21" s="11">
        <v>171.83</v>
      </c>
      <c r="N21" s="11">
        <f t="shared" si="13"/>
        <v>12655.209999999997</v>
      </c>
    </row>
    <row r="22" spans="1:15" ht="26.25" customHeight="1" thickBot="1" x14ac:dyDescent="0.3">
      <c r="A22" s="4" t="s">
        <v>26</v>
      </c>
      <c r="B22" s="11">
        <v>1317.2</v>
      </c>
      <c r="C22" s="11">
        <v>1639.98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 t="shared" si="13"/>
        <v>2957.1800000000003</v>
      </c>
    </row>
    <row r="23" spans="1:15" ht="26.25" customHeight="1" thickBot="1" x14ac:dyDescent="0.3">
      <c r="A23" s="4" t="s">
        <v>27</v>
      </c>
      <c r="B23" s="11">
        <v>182.4</v>
      </c>
      <c r="C23" s="11">
        <v>191.15</v>
      </c>
      <c r="D23" s="11">
        <v>112.33</v>
      </c>
      <c r="E23" s="11">
        <v>268.41000000000003</v>
      </c>
      <c r="F23" s="11">
        <v>103.67</v>
      </c>
      <c r="G23" s="11">
        <v>309.02999999999997</v>
      </c>
      <c r="H23" s="11">
        <v>125.35</v>
      </c>
      <c r="I23" s="11">
        <f>123.04+82.7</f>
        <v>205.74</v>
      </c>
      <c r="J23" s="11">
        <f>112.77+82.7*2</f>
        <v>278.17</v>
      </c>
      <c r="K23" s="11">
        <f>112.7+82.7</f>
        <v>195.4</v>
      </c>
      <c r="L23" s="11">
        <f>123.92+82.7</f>
        <v>206.62</v>
      </c>
      <c r="M23" s="11">
        <f>136.21+165.4</f>
        <v>301.61</v>
      </c>
      <c r="N23" s="11">
        <f t="shared" si="13"/>
        <v>2479.88</v>
      </c>
    </row>
    <row r="24" spans="1:15" ht="26.25" customHeight="1" thickBot="1" x14ac:dyDescent="0.3">
      <c r="A24" s="4" t="s">
        <v>15</v>
      </c>
      <c r="B24" s="14">
        <v>600</v>
      </c>
      <c r="C24" s="14">
        <v>600</v>
      </c>
      <c r="D24" s="14">
        <v>600</v>
      </c>
      <c r="E24" s="14">
        <v>600</v>
      </c>
      <c r="F24" s="14">
        <v>600</v>
      </c>
      <c r="G24" s="14">
        <v>600</v>
      </c>
      <c r="H24" s="14">
        <v>600</v>
      </c>
      <c r="I24" s="14">
        <v>600</v>
      </c>
      <c r="J24" s="14">
        <v>600</v>
      </c>
      <c r="K24" s="14">
        <v>600</v>
      </c>
      <c r="L24" s="14">
        <v>600</v>
      </c>
      <c r="M24" s="14">
        <v>600</v>
      </c>
      <c r="N24" s="11">
        <f t="shared" si="13"/>
        <v>7200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M26" si="14">2430.7*0.55</f>
        <v>1336.885</v>
      </c>
      <c r="C26" s="11">
        <f t="shared" si="14"/>
        <v>1336.885</v>
      </c>
      <c r="D26" s="11">
        <f t="shared" si="14"/>
        <v>1336.885</v>
      </c>
      <c r="E26" s="11">
        <f t="shared" si="14"/>
        <v>1336.885</v>
      </c>
      <c r="F26" s="11">
        <f t="shared" si="14"/>
        <v>1336.885</v>
      </c>
      <c r="G26" s="11">
        <f t="shared" si="14"/>
        <v>1336.885</v>
      </c>
      <c r="H26" s="11">
        <f t="shared" si="14"/>
        <v>1336.885</v>
      </c>
      <c r="I26" s="11">
        <f t="shared" si="14"/>
        <v>1336.885</v>
      </c>
      <c r="J26" s="11">
        <f t="shared" si="14"/>
        <v>1336.885</v>
      </c>
      <c r="K26" s="11">
        <f t="shared" si="14"/>
        <v>1336.885</v>
      </c>
      <c r="L26" s="11">
        <f t="shared" si="14"/>
        <v>1336.885</v>
      </c>
      <c r="M26" s="11">
        <f t="shared" si="14"/>
        <v>1336.885</v>
      </c>
      <c r="N26" s="11">
        <f t="shared" ref="N26:N39" si="15">SUM(B26:M26)</f>
        <v>16042.62</v>
      </c>
    </row>
    <row r="27" spans="1:15" ht="22.5" customHeight="1" thickBot="1" x14ac:dyDescent="0.3">
      <c r="A27" s="4" t="s">
        <v>2</v>
      </c>
      <c r="B27" s="20">
        <f t="shared" ref="B27:M27" si="16">2430.7*0.17</f>
        <v>413.21899999999999</v>
      </c>
      <c r="C27" s="20">
        <f t="shared" si="16"/>
        <v>413.21899999999999</v>
      </c>
      <c r="D27" s="20">
        <f t="shared" si="16"/>
        <v>413.21899999999999</v>
      </c>
      <c r="E27" s="20">
        <f t="shared" si="16"/>
        <v>413.21899999999999</v>
      </c>
      <c r="F27" s="20">
        <f t="shared" si="16"/>
        <v>413.21899999999999</v>
      </c>
      <c r="G27" s="20">
        <f t="shared" si="16"/>
        <v>413.21899999999999</v>
      </c>
      <c r="H27" s="20">
        <f t="shared" si="16"/>
        <v>413.21899999999999</v>
      </c>
      <c r="I27" s="20">
        <f t="shared" si="16"/>
        <v>413.21899999999999</v>
      </c>
      <c r="J27" s="20">
        <f t="shared" si="16"/>
        <v>413.21899999999999</v>
      </c>
      <c r="K27" s="20">
        <f t="shared" si="16"/>
        <v>413.21899999999999</v>
      </c>
      <c r="L27" s="20">
        <f t="shared" si="16"/>
        <v>413.21899999999999</v>
      </c>
      <c r="M27" s="20">
        <f t="shared" si="16"/>
        <v>413.21899999999999</v>
      </c>
      <c r="N27" s="11">
        <f t="shared" si="15"/>
        <v>4958.6279999999997</v>
      </c>
    </row>
    <row r="28" spans="1:15" ht="21" customHeight="1" thickBot="1" x14ac:dyDescent="0.3">
      <c r="A28" s="4" t="s">
        <v>3</v>
      </c>
      <c r="B28" s="11">
        <f>27427.16*2.3%</f>
        <v>630.82467999999994</v>
      </c>
      <c r="C28" s="11">
        <f>26476.97*2.3%</f>
        <v>608.97031000000004</v>
      </c>
      <c r="D28" s="11">
        <f>22569.19*2.3%</f>
        <v>519.09136999999998</v>
      </c>
      <c r="E28" s="11">
        <f>23971.14*2.3%</f>
        <v>551.33622000000003</v>
      </c>
      <c r="F28" s="11">
        <f>32675.14*2.3%</f>
        <v>751.52821999999992</v>
      </c>
      <c r="G28" s="11">
        <f>24507.36*2.3%</f>
        <v>563.66927999999996</v>
      </c>
      <c r="H28" s="11">
        <f>24867.13*2.3%</f>
        <v>571.94398999999999</v>
      </c>
      <c r="I28" s="11">
        <f>25568.45*2.3%</f>
        <v>588.07434999999998</v>
      </c>
      <c r="J28" s="11">
        <f>24770.95*2.3%</f>
        <v>569.73185000000001</v>
      </c>
      <c r="K28" s="11">
        <f>28172.93*2.3%</f>
        <v>647.97739000000001</v>
      </c>
      <c r="L28" s="11">
        <f>29020.15*2.3%</f>
        <v>667.46344999999997</v>
      </c>
      <c r="M28" s="11">
        <f>29375.49*2.3%</f>
        <v>675.63627000000008</v>
      </c>
      <c r="N28" s="11">
        <f t="shared" si="15"/>
        <v>7346.2473799999998</v>
      </c>
    </row>
    <row r="29" spans="1:15" ht="23.25" customHeight="1" thickBot="1" x14ac:dyDescent="0.3">
      <c r="A29" s="4" t="s">
        <v>4</v>
      </c>
      <c r="B29" s="11">
        <f>19644.78*3%</f>
        <v>589.34339999999997</v>
      </c>
      <c r="C29" s="11">
        <f>22000.81*3%</f>
        <v>660.02430000000004</v>
      </c>
      <c r="D29" s="11">
        <f>22205.22*3%</f>
        <v>666.15660000000003</v>
      </c>
      <c r="E29" s="11">
        <f>17474.87*3%</f>
        <v>524.24609999999996</v>
      </c>
      <c r="F29" s="11">
        <f>18127.28*3%</f>
        <v>543.8184</v>
      </c>
      <c r="G29" s="11">
        <f>32374*3%</f>
        <v>971.21999999999991</v>
      </c>
      <c r="H29" s="11">
        <f>24518.26*3%</f>
        <v>735.54779999999994</v>
      </c>
      <c r="I29" s="11">
        <f>29461.04*3%</f>
        <v>883.83119999999997</v>
      </c>
      <c r="J29" s="11">
        <f>30378.13*3%</f>
        <v>911.34389999999996</v>
      </c>
      <c r="K29" s="11">
        <f>31241.68*3%</f>
        <v>937.25040000000001</v>
      </c>
      <c r="L29" s="11">
        <f>25844.97*3%</f>
        <v>775.34910000000002</v>
      </c>
      <c r="M29" s="11">
        <f>27825.67*3%</f>
        <v>834.77009999999996</v>
      </c>
      <c r="N29" s="11">
        <f t="shared" si="15"/>
        <v>9032.9012999999995</v>
      </c>
    </row>
    <row r="30" spans="1:15" ht="23.25" customHeight="1" thickBot="1" x14ac:dyDescent="0.3">
      <c r="A30" s="4" t="s">
        <v>9</v>
      </c>
      <c r="B30" s="11">
        <v>17987.18</v>
      </c>
      <c r="C30" s="11">
        <v>17987.18</v>
      </c>
      <c r="D30" s="11">
        <v>17987.18</v>
      </c>
      <c r="E30" s="11">
        <v>17987.18</v>
      </c>
      <c r="F30" s="11">
        <v>17987.18</v>
      </c>
      <c r="G30" s="11">
        <v>17987.18</v>
      </c>
      <c r="H30" s="11">
        <v>17987.18</v>
      </c>
      <c r="I30" s="11">
        <v>17987.18</v>
      </c>
      <c r="J30" s="11">
        <v>17987.18</v>
      </c>
      <c r="K30" s="11">
        <f>2429.9*8.5</f>
        <v>20654.150000000001</v>
      </c>
      <c r="L30" s="11">
        <f t="shared" ref="L30:M30" si="17">2429.9*8.5</f>
        <v>20654.150000000001</v>
      </c>
      <c r="M30" s="11">
        <f t="shared" si="17"/>
        <v>20654.150000000001</v>
      </c>
      <c r="N30" s="11">
        <f t="shared" si="15"/>
        <v>223847.06999999995</v>
      </c>
    </row>
    <row r="31" spans="1:15" ht="26.25" customHeight="1" thickBot="1" x14ac:dyDescent="0.3">
      <c r="A31" s="4" t="s">
        <v>21</v>
      </c>
      <c r="B31" s="11">
        <f>738.16+100.29</f>
        <v>838.44999999999993</v>
      </c>
      <c r="C31" s="11">
        <f>631.45+85.86</f>
        <v>717.31000000000006</v>
      </c>
      <c r="D31" s="11">
        <v>0</v>
      </c>
      <c r="E31" s="11">
        <f>5531.95+751.99</f>
        <v>6283.94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5"/>
        <v>7839.7</v>
      </c>
    </row>
    <row r="32" spans="1:15" ht="26.25" customHeight="1" thickBot="1" x14ac:dyDescent="0.3">
      <c r="A32" s="4" t="s">
        <v>22</v>
      </c>
      <c r="B32" s="11">
        <v>219.38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 t="shared" si="15"/>
        <v>219.38</v>
      </c>
    </row>
    <row r="33" spans="1:14" ht="26.25" customHeight="1" thickBot="1" x14ac:dyDescent="0.3">
      <c r="A33" s="4" t="s">
        <v>23</v>
      </c>
      <c r="B33" s="11">
        <v>0</v>
      </c>
      <c r="C33" s="11">
        <v>0</v>
      </c>
      <c r="D33" s="11">
        <v>0</v>
      </c>
      <c r="E33" s="11">
        <v>7713.42</v>
      </c>
      <c r="F33" s="11">
        <v>862.29</v>
      </c>
      <c r="G33" s="11">
        <v>1437.15</v>
      </c>
      <c r="H33" s="11">
        <v>2565</v>
      </c>
      <c r="I33" s="11">
        <v>1282.5</v>
      </c>
      <c r="J33" s="11">
        <v>0</v>
      </c>
      <c r="K33" s="11">
        <v>0</v>
      </c>
      <c r="L33" s="11">
        <v>571.5</v>
      </c>
      <c r="M33" s="11">
        <v>81</v>
      </c>
      <c r="N33" s="11">
        <f t="shared" si="15"/>
        <v>14512.859999999999</v>
      </c>
    </row>
    <row r="34" spans="1:14" ht="26.25" customHeight="1" thickBot="1" x14ac:dyDescent="0.3">
      <c r="A34" s="4" t="s">
        <v>27</v>
      </c>
      <c r="B34" s="11">
        <v>213.4</v>
      </c>
      <c r="C34" s="11">
        <v>213.4</v>
      </c>
      <c r="D34" s="11">
        <v>213.4</v>
      </c>
      <c r="E34" s="11">
        <v>213.4</v>
      </c>
      <c r="F34" s="11">
        <v>213.4</v>
      </c>
      <c r="G34" s="11">
        <v>213.4</v>
      </c>
      <c r="H34" s="11">
        <v>217.22</v>
      </c>
      <c r="I34" s="11">
        <v>217.22</v>
      </c>
      <c r="J34" s="11">
        <v>217.22</v>
      </c>
      <c r="K34" s="11">
        <v>217.22</v>
      </c>
      <c r="L34" s="11">
        <v>217.22</v>
      </c>
      <c r="M34" s="11">
        <v>217.22</v>
      </c>
      <c r="N34" s="11">
        <f t="shared" si="15"/>
        <v>2583.7199999999998</v>
      </c>
    </row>
    <row r="35" spans="1:14" ht="22.5" customHeight="1" thickBot="1" x14ac:dyDescent="0.3">
      <c r="A35" s="4" t="s">
        <v>6</v>
      </c>
      <c r="B35" s="11">
        <f>2430.7*2.13</f>
        <v>5177.3909999999996</v>
      </c>
      <c r="C35" s="11">
        <f t="shared" ref="C35:J35" si="18">2430.7*2.13</f>
        <v>5177.3909999999996</v>
      </c>
      <c r="D35" s="11">
        <f t="shared" si="18"/>
        <v>5177.3909999999996</v>
      </c>
      <c r="E35" s="11">
        <f t="shared" si="18"/>
        <v>5177.3909999999996</v>
      </c>
      <c r="F35" s="11">
        <f t="shared" si="18"/>
        <v>5177.3909999999996</v>
      </c>
      <c r="G35" s="11">
        <f t="shared" si="18"/>
        <v>5177.3909999999996</v>
      </c>
      <c r="H35" s="11">
        <f t="shared" si="18"/>
        <v>5177.3909999999996</v>
      </c>
      <c r="I35" s="11">
        <f t="shared" si="18"/>
        <v>5177.3909999999996</v>
      </c>
      <c r="J35" s="11">
        <f t="shared" si="18"/>
        <v>5177.3909999999996</v>
      </c>
      <c r="K35" s="11">
        <f>2430.7*2.63</f>
        <v>6392.7409999999991</v>
      </c>
      <c r="L35" s="11">
        <f t="shared" ref="L35:M35" si="19">2430.7*2.63</f>
        <v>6392.7409999999991</v>
      </c>
      <c r="M35" s="11">
        <f t="shared" si="19"/>
        <v>6392.7409999999991</v>
      </c>
      <c r="N35" s="11">
        <f t="shared" si="15"/>
        <v>65774.741999999998</v>
      </c>
    </row>
    <row r="36" spans="1:14" ht="21.75" customHeight="1" thickBot="1" x14ac:dyDescent="0.3">
      <c r="A36" s="4" t="s">
        <v>26</v>
      </c>
      <c r="B36" s="11">
        <v>1345</v>
      </c>
      <c r="C36" s="11">
        <v>1405</v>
      </c>
      <c r="D36" s="11">
        <v>300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 t="shared" si="15"/>
        <v>3050</v>
      </c>
    </row>
    <row r="37" spans="1:14" ht="24.75" customHeight="1" thickBot="1" x14ac:dyDescent="0.3">
      <c r="A37" s="4" t="s">
        <v>14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6549.12</v>
      </c>
      <c r="N37" s="11">
        <f t="shared" si="15"/>
        <v>6549.12</v>
      </c>
    </row>
    <row r="38" spans="1:14" ht="24.75" customHeight="1" thickBot="1" x14ac:dyDescent="0.3">
      <c r="A38" s="4" t="s">
        <v>28</v>
      </c>
      <c r="B38" s="11">
        <f>1140+420</f>
        <v>1560</v>
      </c>
      <c r="C38" s="11">
        <f>1140+420</f>
        <v>1560</v>
      </c>
      <c r="D38" s="11">
        <f>1140+420</f>
        <v>1560</v>
      </c>
      <c r="E38" s="11">
        <f>1140+420</f>
        <v>1560</v>
      </c>
      <c r="F38" s="11">
        <v>420</v>
      </c>
      <c r="G38" s="11">
        <v>420</v>
      </c>
      <c r="H38" s="11">
        <f>1140</f>
        <v>1140</v>
      </c>
      <c r="I38" s="11">
        <f>420+1140</f>
        <v>1560</v>
      </c>
      <c r="J38" s="11">
        <f>420+1140</f>
        <v>1560</v>
      </c>
      <c r="K38" s="11">
        <f>1140</f>
        <v>1140</v>
      </c>
      <c r="L38" s="11">
        <f>1140</f>
        <v>1140</v>
      </c>
      <c r="M38" s="11">
        <f>1140</f>
        <v>1140</v>
      </c>
      <c r="N38" s="11">
        <f t="shared" si="15"/>
        <v>14760</v>
      </c>
    </row>
    <row r="39" spans="1:14" ht="24" customHeight="1" thickBot="1" x14ac:dyDescent="0.3">
      <c r="A39" s="4" t="s">
        <v>10</v>
      </c>
      <c r="B39" s="11">
        <v>0</v>
      </c>
      <c r="C39" s="11">
        <f>32548.26</f>
        <v>32548.26</v>
      </c>
      <c r="D39" s="11">
        <f>205.9+3990.2</f>
        <v>4196.0999999999995</v>
      </c>
      <c r="E39" s="11">
        <f>1586.2+1588.6+10556</f>
        <v>13730.8</v>
      </c>
      <c r="F39" s="11">
        <f>59300</f>
        <v>59300</v>
      </c>
      <c r="G39" s="11">
        <f>48807.29+21375+1025.3+614.5</f>
        <v>71822.090000000011</v>
      </c>
      <c r="H39" s="11">
        <f>2770</f>
        <v>2770</v>
      </c>
      <c r="I39" s="11">
        <f>6099.4</f>
        <v>6099.4</v>
      </c>
      <c r="J39" s="11">
        <v>0</v>
      </c>
      <c r="K39" s="11">
        <f>6373.4+3708.7</f>
        <v>10082.099999999999</v>
      </c>
      <c r="L39" s="11">
        <v>0</v>
      </c>
      <c r="M39" s="11">
        <f>15230.3+2302.9+2992.9</f>
        <v>20526.100000000002</v>
      </c>
      <c r="N39" s="11">
        <f t="shared" si="15"/>
        <v>221074.85</v>
      </c>
    </row>
    <row r="40" spans="1:14" ht="22.5" customHeight="1" thickBot="1" x14ac:dyDescent="0.3">
      <c r="A40" s="9" t="s">
        <v>24</v>
      </c>
      <c r="B40" s="10">
        <f t="shared" ref="B40:M40" si="20">SUM(B26:B39)</f>
        <v>30311.073080000002</v>
      </c>
      <c r="C40" s="10">
        <f t="shared" si="20"/>
        <v>62627.639609999998</v>
      </c>
      <c r="D40" s="10">
        <f t="shared" si="20"/>
        <v>32369.42297</v>
      </c>
      <c r="E40" s="10">
        <f t="shared" si="20"/>
        <v>55491.817320000002</v>
      </c>
      <c r="F40" s="10">
        <f t="shared" si="20"/>
        <v>87005.711620000002</v>
      </c>
      <c r="G40" s="10">
        <f t="shared" si="20"/>
        <v>100342.20428000001</v>
      </c>
      <c r="H40" s="10">
        <f t="shared" si="20"/>
        <v>32914.386790000004</v>
      </c>
      <c r="I40" s="10">
        <f t="shared" si="20"/>
        <v>35545.700550000001</v>
      </c>
      <c r="J40" s="10">
        <f t="shared" si="20"/>
        <v>28172.97075</v>
      </c>
      <c r="K40" s="10">
        <f t="shared" si="20"/>
        <v>41821.54279</v>
      </c>
      <c r="L40" s="10">
        <f t="shared" si="20"/>
        <v>32168.527550000003</v>
      </c>
      <c r="M40" s="10">
        <f t="shared" si="20"/>
        <v>58820.841370000009</v>
      </c>
      <c r="N40" s="10">
        <f>SUM(B40:M40)</f>
        <v>597591.83868000004</v>
      </c>
    </row>
    <row r="41" spans="1:14" ht="23.25" customHeight="1" thickBot="1" x14ac:dyDescent="0.3">
      <c r="A41" s="4" t="s">
        <v>5</v>
      </c>
      <c r="B41" s="18">
        <f t="shared" ref="B41:N41" si="21">B16-B40</f>
        <v>4015.3069199999954</v>
      </c>
      <c r="C41" s="18">
        <f t="shared" si="21"/>
        <v>-26083.059609999997</v>
      </c>
      <c r="D41" s="18">
        <f t="shared" si="21"/>
        <v>-9564.2029700000021</v>
      </c>
      <c r="E41" s="18">
        <f t="shared" si="21"/>
        <v>-9868.3273199999967</v>
      </c>
      <c r="F41" s="18">
        <f t="shared" si="21"/>
        <v>-68278.431620000003</v>
      </c>
      <c r="G41" s="18">
        <f t="shared" si="21"/>
        <v>-40830.374280000011</v>
      </c>
      <c r="H41" s="18">
        <f t="shared" si="21"/>
        <v>-7796.1267900000057</v>
      </c>
      <c r="I41" s="18">
        <f t="shared" si="21"/>
        <v>7968.0394499999966</v>
      </c>
      <c r="J41" s="18">
        <f t="shared" si="21"/>
        <v>34893.139249999993</v>
      </c>
      <c r="K41" s="18">
        <f t="shared" si="21"/>
        <v>4116.0672100000011</v>
      </c>
      <c r="L41" s="18">
        <f t="shared" si="21"/>
        <v>7894.5424499999899</v>
      </c>
      <c r="M41" s="18">
        <f t="shared" si="21"/>
        <v>-4050.3113700000031</v>
      </c>
      <c r="N41" s="11">
        <f t="shared" si="21"/>
        <v>-107583.73868000007</v>
      </c>
    </row>
    <row r="42" spans="1:14" ht="23.25" customHeight="1" thickBot="1" x14ac:dyDescent="0.3">
      <c r="A42" s="4" t="s">
        <v>7</v>
      </c>
      <c r="B42" s="14">
        <f t="shared" ref="B42:N42" si="22">B5+B41</f>
        <v>-309983.05307999998</v>
      </c>
      <c r="C42" s="14">
        <f t="shared" si="22"/>
        <v>-336066.11268999998</v>
      </c>
      <c r="D42" s="14">
        <f t="shared" si="22"/>
        <v>-345630.31565999996</v>
      </c>
      <c r="E42" s="14">
        <f t="shared" si="22"/>
        <v>-355498.64297999995</v>
      </c>
      <c r="F42" s="14">
        <f t="shared" si="22"/>
        <v>-423777.07459999993</v>
      </c>
      <c r="G42" s="14">
        <f t="shared" si="22"/>
        <v>-464607.44887999992</v>
      </c>
      <c r="H42" s="14">
        <f t="shared" si="22"/>
        <v>-472403.57566999993</v>
      </c>
      <c r="I42" s="14">
        <f t="shared" si="22"/>
        <v>-464435.53621999995</v>
      </c>
      <c r="J42" s="14">
        <f t="shared" si="22"/>
        <v>-429542.39696999994</v>
      </c>
      <c r="K42" s="14">
        <f t="shared" si="22"/>
        <v>-425426.32975999994</v>
      </c>
      <c r="L42" s="14">
        <f t="shared" si="22"/>
        <v>-417531.78730999993</v>
      </c>
      <c r="M42" s="14">
        <f t="shared" si="22"/>
        <v>-421582.09867999994</v>
      </c>
      <c r="N42" s="14">
        <f t="shared" si="22"/>
        <v>-421582.09868000005</v>
      </c>
    </row>
    <row r="43" spans="1:14" ht="27" customHeight="1" thickBot="1" x14ac:dyDescent="0.3">
      <c r="A43" s="15" t="s">
        <v>11</v>
      </c>
      <c r="B43" s="19">
        <f t="shared" ref="B43:M43" si="23">B6+B16-B7</f>
        <v>-225179.64</v>
      </c>
      <c r="C43" s="19">
        <f t="shared" si="23"/>
        <v>-229288.24</v>
      </c>
      <c r="D43" s="19">
        <f t="shared" si="23"/>
        <v>-243058.96</v>
      </c>
      <c r="E43" s="19">
        <f t="shared" si="23"/>
        <v>-235137.68999999997</v>
      </c>
      <c r="F43" s="19">
        <f t="shared" si="23"/>
        <v>-268100.3</v>
      </c>
      <c r="G43" s="19">
        <f t="shared" si="23"/>
        <v>-247148.53</v>
      </c>
      <c r="H43" s="19">
        <f t="shared" si="23"/>
        <v>-261170.63</v>
      </c>
      <c r="I43" s="19">
        <f t="shared" si="23"/>
        <v>-257921.27000000002</v>
      </c>
      <c r="J43" s="19">
        <f t="shared" si="23"/>
        <v>-233844.21000000002</v>
      </c>
      <c r="K43" s="19">
        <f t="shared" si="23"/>
        <v>-232879.74000000005</v>
      </c>
      <c r="L43" s="19">
        <f t="shared" si="23"/>
        <v>-238637.03000000006</v>
      </c>
      <c r="M43" s="19">
        <f t="shared" si="23"/>
        <v>-230262.74000000005</v>
      </c>
      <c r="N43" s="17">
        <f t="shared" ref="N43" si="24">N6+N16-N7</f>
        <v>-230262.74000000005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2022-03-17T05:31:07Z</cp:lastPrinted>
  <dcterms:created xsi:type="dcterms:W3CDTF">2011-06-06T03:25:48Z</dcterms:created>
  <dcterms:modified xsi:type="dcterms:W3CDTF">2022-03-17T05:37:23Z</dcterms:modified>
</cp:coreProperties>
</file>