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96" windowWidth="16152" windowHeight="10992"/>
  </bookViews>
  <sheets>
    <sheet name="2021" sheetId="1" r:id="rId1"/>
  </sheets>
  <calcPr calcId="144525" refMode="R1C1"/>
</workbook>
</file>

<file path=xl/calcChain.xml><?xml version="1.0" encoding="utf-8"?>
<calcChain xmlns="http://schemas.openxmlformats.org/spreadsheetml/2006/main">
  <c r="J25" i="1" l="1"/>
  <c r="L27" i="1" l="1"/>
  <c r="M27" i="1"/>
  <c r="K27" i="1"/>
  <c r="M34" i="1" l="1"/>
  <c r="L34" i="1" l="1"/>
  <c r="M33" i="1" l="1"/>
  <c r="L33" i="1" l="1"/>
  <c r="K33" i="1" l="1"/>
  <c r="M26" i="1" l="1"/>
  <c r="M16" i="1"/>
  <c r="M25" i="1"/>
  <c r="M9" i="1"/>
  <c r="L26" i="1" l="1"/>
  <c r="L16" i="1"/>
  <c r="L25" i="1"/>
  <c r="L9" i="1"/>
  <c r="K34" i="1" l="1"/>
  <c r="K26" i="1" l="1"/>
  <c r="K16" i="1"/>
  <c r="K25" i="1"/>
  <c r="K9" i="1"/>
  <c r="K32" i="1" l="1"/>
  <c r="L32" i="1"/>
  <c r="M32" i="1"/>
  <c r="K24" i="1"/>
  <c r="L24" i="1"/>
  <c r="M24" i="1"/>
  <c r="K23" i="1"/>
  <c r="L23" i="1"/>
  <c r="M23" i="1"/>
  <c r="N7" i="1" l="1"/>
  <c r="J9" i="1"/>
  <c r="J32" i="1"/>
  <c r="I32" i="1"/>
  <c r="C32" i="1"/>
  <c r="D32" i="1"/>
  <c r="E32" i="1"/>
  <c r="F32" i="1"/>
  <c r="G32" i="1"/>
  <c r="H32" i="1"/>
  <c r="B32" i="1"/>
  <c r="J27" i="1" l="1"/>
  <c r="I27" i="1"/>
  <c r="J34" i="1" l="1"/>
  <c r="I34" i="1" l="1"/>
  <c r="J33" i="1" l="1"/>
  <c r="I33" i="1" l="1"/>
  <c r="H33" i="1" l="1"/>
  <c r="J26" i="1" l="1"/>
  <c r="J16" i="1"/>
  <c r="H34" i="1" l="1"/>
  <c r="E9" i="1" l="1"/>
  <c r="D9" i="1"/>
  <c r="I26" i="1" l="1"/>
  <c r="I16" i="1"/>
  <c r="I25" i="1"/>
  <c r="I9" i="1"/>
  <c r="H26" i="1" l="1"/>
  <c r="H16" i="1"/>
  <c r="H25" i="1"/>
  <c r="H9" i="1"/>
  <c r="H24" i="1" l="1"/>
  <c r="I24" i="1"/>
  <c r="J24" i="1"/>
  <c r="H23" i="1"/>
  <c r="I23" i="1"/>
  <c r="J23" i="1"/>
  <c r="G34" i="1" l="1"/>
  <c r="F34" i="1" l="1"/>
  <c r="E34" i="1" l="1"/>
  <c r="E28" i="1" l="1"/>
  <c r="G26" i="1" l="1"/>
  <c r="G16" i="1"/>
  <c r="G25" i="1"/>
  <c r="G9" i="1"/>
  <c r="F26" i="1" l="1"/>
  <c r="F16" i="1"/>
  <c r="F25" i="1"/>
  <c r="F9" i="1"/>
  <c r="E26" i="1" l="1"/>
  <c r="E16" i="1"/>
  <c r="E25" i="1"/>
  <c r="E24" i="1" l="1"/>
  <c r="F24" i="1"/>
  <c r="G24" i="1"/>
  <c r="D24" i="1"/>
  <c r="E23" i="1"/>
  <c r="F23" i="1"/>
  <c r="G23" i="1"/>
  <c r="D34" i="1" l="1"/>
  <c r="D26" i="1" l="1"/>
  <c r="D16" i="1" l="1"/>
  <c r="D25" i="1"/>
  <c r="C34" i="1" l="1"/>
  <c r="C26" i="1" l="1"/>
  <c r="C16" i="1"/>
  <c r="C25" i="1"/>
  <c r="C9" i="1"/>
  <c r="B26" i="1" l="1"/>
  <c r="B16" i="1"/>
  <c r="B25" i="1" l="1"/>
  <c r="B9" i="1"/>
  <c r="B34" i="1" l="1"/>
  <c r="C24" i="1" l="1"/>
  <c r="C23" i="1"/>
  <c r="D23" i="1"/>
  <c r="B24" i="1"/>
  <c r="B23" i="1"/>
  <c r="N6" i="1" l="1"/>
  <c r="J15" i="1"/>
  <c r="N9" i="1" l="1"/>
  <c r="L15" i="1"/>
  <c r="L8" i="1"/>
  <c r="K8" i="1"/>
  <c r="N23" i="1"/>
  <c r="N24" i="1"/>
  <c r="N27" i="1"/>
  <c r="N28" i="1"/>
  <c r="N29" i="1"/>
  <c r="N30" i="1"/>
  <c r="N31" i="1"/>
  <c r="N32" i="1"/>
  <c r="N33" i="1"/>
  <c r="N17" i="1"/>
  <c r="N18" i="1"/>
  <c r="N19" i="1"/>
  <c r="N20" i="1"/>
  <c r="N21" i="1"/>
  <c r="N16" i="1"/>
  <c r="K15" i="1"/>
  <c r="M15" i="1"/>
  <c r="N10" i="1"/>
  <c r="N11" i="1"/>
  <c r="N12" i="1"/>
  <c r="N13" i="1"/>
  <c r="N14" i="1"/>
  <c r="M35" i="1" l="1"/>
  <c r="L35" i="1"/>
  <c r="L36" i="1" s="1"/>
  <c r="M8" i="1"/>
  <c r="M36" i="1" l="1"/>
  <c r="K35" i="1"/>
  <c r="K36" i="1" l="1"/>
  <c r="H15" i="1" l="1"/>
  <c r="I15" i="1"/>
  <c r="H8" i="1"/>
  <c r="I8" i="1"/>
  <c r="J8" i="1"/>
  <c r="J35" i="1" l="1"/>
  <c r="I35" i="1"/>
  <c r="I36" i="1" s="1"/>
  <c r="N34" i="1" l="1"/>
  <c r="J36" i="1"/>
  <c r="H35" i="1"/>
  <c r="H36" i="1" l="1"/>
  <c r="G8" i="1"/>
  <c r="E15" i="1"/>
  <c r="F15" i="1"/>
  <c r="G15" i="1"/>
  <c r="E8" i="1"/>
  <c r="F8" i="1"/>
  <c r="D15" i="1"/>
  <c r="D8" i="1"/>
  <c r="C15" i="1"/>
  <c r="C8" i="1"/>
  <c r="B15" i="1"/>
  <c r="N15" i="1" s="1"/>
  <c r="B8" i="1"/>
  <c r="N8" i="1" l="1"/>
  <c r="G35" i="1"/>
  <c r="G36" i="1" s="1"/>
  <c r="B35" i="1"/>
  <c r="B38" i="1"/>
  <c r="C35" i="1"/>
  <c r="C36" i="1" s="1"/>
  <c r="N26" i="1"/>
  <c r="N25" i="1"/>
  <c r="E35" i="1"/>
  <c r="E36" i="1" s="1"/>
  <c r="D35" i="1"/>
  <c r="D36" i="1" s="1"/>
  <c r="F35" i="1"/>
  <c r="B36" i="1" l="1"/>
  <c r="B37" i="1" s="1"/>
  <c r="N35" i="1"/>
  <c r="F36" i="1"/>
  <c r="C7" i="1"/>
  <c r="C38" i="1" s="1"/>
  <c r="D7" i="1" s="1"/>
  <c r="D38" i="1" s="1"/>
  <c r="N36" i="1" l="1"/>
  <c r="N37" i="1" s="1"/>
  <c r="E7" i="1"/>
  <c r="E38" i="1" s="1"/>
  <c r="F7" i="1" s="1"/>
  <c r="F38" i="1" s="1"/>
  <c r="N38" i="1"/>
  <c r="N40" i="1" s="1"/>
  <c r="G7" i="1" l="1"/>
  <c r="G38" i="1" l="1"/>
  <c r="H7" i="1" s="1"/>
  <c r="H38" i="1" s="1"/>
  <c r="I7" i="1" s="1"/>
  <c r="I38" i="1" s="1"/>
  <c r="C6" i="1"/>
  <c r="C37" i="1" s="1"/>
  <c r="J7" i="1" l="1"/>
  <c r="J38" i="1" s="1"/>
  <c r="D6" i="1"/>
  <c r="D37" i="1" s="1"/>
  <c r="K7" i="1" l="1"/>
  <c r="K38" i="1" s="1"/>
  <c r="L7" i="1" s="1"/>
  <c r="L38" i="1" s="1"/>
  <c r="E6" i="1"/>
  <c r="E37" i="1" s="1"/>
  <c r="M7" i="1" l="1"/>
  <c r="M38" i="1" s="1"/>
  <c r="F6" i="1"/>
  <c r="F37" i="1" s="1"/>
  <c r="G6" i="1" s="1"/>
  <c r="G37" i="1" l="1"/>
  <c r="H6" i="1" s="1"/>
  <c r="H37" i="1" s="1"/>
  <c r="I6" i="1" s="1"/>
  <c r="I37" i="1" s="1"/>
  <c r="J6" i="1" s="1"/>
  <c r="J37" i="1" s="1"/>
  <c r="K6" i="1" s="1"/>
  <c r="K37" i="1" s="1"/>
  <c r="L6" i="1" s="1"/>
  <c r="L37" i="1" s="1"/>
  <c r="M6" i="1" s="1"/>
  <c r="M37" i="1" s="1"/>
</calcChain>
</file>

<file path=xl/sharedStrings.xml><?xml version="1.0" encoding="utf-8"?>
<sst xmlns="http://schemas.openxmlformats.org/spreadsheetml/2006/main" count="51" uniqueCount="43">
  <si>
    <t>Наименование статей</t>
  </si>
  <si>
    <t>Аварийная служба</t>
  </si>
  <si>
    <t>ЕИРКЦ паспортная служба</t>
  </si>
  <si>
    <t>ЕИРКЦ услуги за начисление</t>
  </si>
  <si>
    <t>Система «Город» по приему платежей</t>
  </si>
  <si>
    <t>Экономия/перерасход (+,-)</t>
  </si>
  <si>
    <t>Услуги управляющей компании</t>
  </si>
  <si>
    <t>Накопительный счет</t>
  </si>
  <si>
    <t>Поступления за месяц, всего:</t>
  </si>
  <si>
    <t>Содержание и техобслуживание МКД</t>
  </si>
  <si>
    <t>Подрядные работы, текущий ремонт</t>
  </si>
  <si>
    <t>Задолженность по оплате (сальдо исходящее)</t>
  </si>
  <si>
    <t>Начисления за месяц, всего:</t>
  </si>
  <si>
    <t xml:space="preserve">Входящее сальдо по оплате на начало периода </t>
  </si>
  <si>
    <t>Дополнительный доход (использование общего имущества)</t>
  </si>
  <si>
    <t>Средства на счете дома на начало периода</t>
  </si>
  <si>
    <t>ГВС на содержание ОИ</t>
  </si>
  <si>
    <t>ХВС на содержание ОИ</t>
  </si>
  <si>
    <t>Эл.энергия на содержание ОИ</t>
  </si>
  <si>
    <t>Расходы ГВС на содержание ОИ</t>
  </si>
  <si>
    <t>Расходы ХВС на содержание ОИ</t>
  </si>
  <si>
    <t>Расходы эл.энергия на содержание ОИ</t>
  </si>
  <si>
    <t>Итого расходы</t>
  </si>
  <si>
    <t>РАСХОДЫ</t>
  </si>
  <si>
    <t xml:space="preserve">                 ОТЧЕТ по дому Матросова, 45</t>
  </si>
  <si>
    <t xml:space="preserve">Тех. обслуживание общедомовых приборов учета </t>
  </si>
  <si>
    <t>Отведение сточных вод ОИ</t>
  </si>
  <si>
    <t xml:space="preserve">Содержание жилья и текущий ремонт,  ОПУ </t>
  </si>
  <si>
    <t>Январь 2021г.</t>
  </si>
  <si>
    <t>Февраль 2021г.</t>
  </si>
  <si>
    <t>Март 2021г.</t>
  </si>
  <si>
    <t>Апрель 2021г.</t>
  </si>
  <si>
    <t>Май 2021г.</t>
  </si>
  <si>
    <t>Июнь 2021г.</t>
  </si>
  <si>
    <t>Июль 2021г.</t>
  </si>
  <si>
    <t>Август 2021г.</t>
  </si>
  <si>
    <t>Сентябрь 2021г.</t>
  </si>
  <si>
    <t>Октябрь 2021г</t>
  </si>
  <si>
    <t>Ноябрь 2021г</t>
  </si>
  <si>
    <t>Декабрь 2021г</t>
  </si>
  <si>
    <t>Всего:                       за  2021г.</t>
  </si>
  <si>
    <t>Корректировка задолженности по оплате по решению Арбитражного суда за предыдущие периоды</t>
  </si>
  <si>
    <r>
      <t xml:space="preserve">за период </t>
    </r>
    <r>
      <rPr>
        <b/>
        <u/>
        <sz val="16"/>
        <rFont val="Times New Roman"/>
        <family val="1"/>
        <charset val="204"/>
      </rPr>
      <t>01.01.2021г. по 31.12.2021г.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</si>
</sst>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_₽"/>
  </numFmts>
  <fonts count="10" x14ac:knownFonts="1">
    <font>
      <sz val="10"/>
      <name val="Arial Cyr"/>
      <charset val="204"/>
    </font>
    <font>
      <b/>
      <sz val="8"/>
      <name val="Times New Roman"/>
      <family val="1"/>
      <charset val="204"/>
    </font>
    <font>
      <b/>
      <sz val="16"/>
      <name val="Times New Roman"/>
      <family val="1"/>
      <charset val="204"/>
    </font>
    <font>
      <b/>
      <u/>
      <sz val="16"/>
      <name val="Times New Roman"/>
      <family val="1"/>
      <charset val="204"/>
    </font>
    <font>
      <sz val="8"/>
      <name val="Arial Cyr"/>
      <charset val="204"/>
    </font>
    <font>
      <b/>
      <sz val="18"/>
      <name val="Times New Roman"/>
      <family val="1"/>
      <charset val="204"/>
    </font>
    <font>
      <sz val="18"/>
      <name val="Arial Cyr"/>
      <charset val="204"/>
    </font>
    <font>
      <b/>
      <sz val="10"/>
      <name val="Arial Cyr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53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0" fontId="7" fillId="0" borderId="0" xfId="0" applyFont="1"/>
    <xf numFmtId="0" fontId="8" fillId="0" borderId="3" xfId="0" applyFont="1" applyBorder="1" applyAlignment="1">
      <alignment vertical="top" wrapText="1"/>
    </xf>
    <xf numFmtId="0" fontId="9" fillId="0" borderId="1" xfId="0" applyFont="1" applyBorder="1" applyAlignment="1">
      <alignment vertical="top" wrapText="1"/>
    </xf>
    <xf numFmtId="0" fontId="9" fillId="0" borderId="2" xfId="0" applyFont="1" applyBorder="1" applyAlignment="1">
      <alignment vertical="top" wrapText="1"/>
    </xf>
    <xf numFmtId="0" fontId="9" fillId="2" borderId="3" xfId="0" applyFont="1" applyFill="1" applyBorder="1" applyAlignment="1">
      <alignment vertical="top" wrapText="1"/>
    </xf>
    <xf numFmtId="164" fontId="9" fillId="2" borderId="4" xfId="0" applyNumberFormat="1" applyFont="1" applyFill="1" applyBorder="1" applyAlignment="1">
      <alignment horizontal="left" vertical="top" wrapText="1"/>
    </xf>
    <xf numFmtId="0" fontId="9" fillId="3" borderId="3" xfId="0" applyFont="1" applyFill="1" applyBorder="1" applyAlignment="1">
      <alignment vertical="top" wrapText="1"/>
    </xf>
    <xf numFmtId="164" fontId="9" fillId="3" borderId="4" xfId="0" applyNumberFormat="1" applyFont="1" applyFill="1" applyBorder="1" applyAlignment="1">
      <alignment horizontal="left" vertical="top" wrapText="1"/>
    </xf>
    <xf numFmtId="164" fontId="8" fillId="0" borderId="4" xfId="0" applyNumberFormat="1" applyFont="1" applyBorder="1" applyAlignment="1">
      <alignment horizontal="left" vertical="top" wrapText="1"/>
    </xf>
    <xf numFmtId="0" fontId="9" fillId="4" borderId="3" xfId="0" applyFont="1" applyFill="1" applyBorder="1" applyAlignment="1">
      <alignment vertical="top" wrapText="1"/>
    </xf>
    <xf numFmtId="164" fontId="9" fillId="4" borderId="4" xfId="0" applyNumberFormat="1" applyFont="1" applyFill="1" applyBorder="1" applyAlignment="1">
      <alignment horizontal="left" vertical="top" wrapText="1"/>
    </xf>
    <xf numFmtId="164" fontId="8" fillId="0" borderId="1" xfId="0" applyNumberFormat="1" applyFont="1" applyBorder="1" applyAlignment="1">
      <alignment horizontal="left" vertical="top" wrapText="1"/>
    </xf>
    <xf numFmtId="0" fontId="9" fillId="0" borderId="3" xfId="0" applyFont="1" applyBorder="1" applyAlignment="1">
      <alignment vertical="top" wrapText="1"/>
    </xf>
    <xf numFmtId="164" fontId="9" fillId="0" borderId="5" xfId="0" applyNumberFormat="1" applyFont="1" applyBorder="1" applyAlignment="1">
      <alignment horizontal="left" vertical="top" wrapText="1"/>
    </xf>
    <xf numFmtId="164" fontId="9" fillId="0" borderId="2" xfId="0" applyNumberFormat="1" applyFont="1" applyBorder="1" applyAlignment="1">
      <alignment horizontal="left" vertical="top" wrapText="1"/>
    </xf>
    <xf numFmtId="164" fontId="8" fillId="0" borderId="6" xfId="0" applyNumberFormat="1" applyFont="1" applyBorder="1" applyAlignment="1">
      <alignment horizontal="left" vertical="top" wrapText="1"/>
    </xf>
    <xf numFmtId="164" fontId="8" fillId="0" borderId="4" xfId="0" applyNumberFormat="1" applyFont="1" applyFill="1" applyBorder="1" applyAlignment="1">
      <alignment horizontal="left" vertical="top" wrapText="1"/>
    </xf>
    <xf numFmtId="0" fontId="9" fillId="0" borderId="7" xfId="0" applyFont="1" applyBorder="1" applyAlignment="1">
      <alignment vertical="top" wrapText="1"/>
    </xf>
    <xf numFmtId="164" fontId="9" fillId="0" borderId="6" xfId="0" applyNumberFormat="1" applyFont="1" applyBorder="1" applyAlignment="1">
      <alignment horizontal="left" vertical="top" wrapText="1"/>
    </xf>
    <xf numFmtId="4" fontId="9" fillId="0" borderId="1" xfId="0" applyNumberFormat="1" applyFont="1" applyBorder="1" applyAlignment="1">
      <alignment horizontal="left"/>
    </xf>
    <xf numFmtId="164" fontId="9" fillId="0" borderId="1" xfId="0" applyNumberFormat="1" applyFont="1" applyBorder="1" applyAlignment="1">
      <alignment horizontal="left" vertical="top" wrapText="1"/>
    </xf>
    <xf numFmtId="0" fontId="5" fillId="0" borderId="0" xfId="0" applyFont="1" applyAlignment="1">
      <alignment horizontal="center"/>
    </xf>
    <xf numFmtId="0" fontId="6" fillId="0" borderId="0" xfId="0" applyFont="1" applyAlignment="1"/>
    <xf numFmtId="0" fontId="2" fillId="0" borderId="0" xfId="0" applyFont="1" applyAlignment="1">
      <alignment horizontal="center"/>
    </xf>
    <xf numFmtId="0" fontId="0" fillId="0" borderId="0" xfId="0" applyAlignment="1"/>
    <xf numFmtId="0" fontId="9" fillId="0" borderId="8" xfId="0" applyFont="1" applyBorder="1" applyAlignment="1">
      <alignment horizontal="right"/>
    </xf>
    <xf numFmtId="0" fontId="9" fillId="0" borderId="9" xfId="0" applyFont="1" applyBorder="1" applyAlignment="1">
      <alignment horizontal="right"/>
    </xf>
    <xf numFmtId="0" fontId="9" fillId="0" borderId="2" xfId="0" applyFont="1" applyBorder="1" applyAlignment="1">
      <alignment horizontal="right"/>
    </xf>
    <xf numFmtId="0" fontId="9" fillId="0" borderId="8" xfId="0" applyFont="1" applyBorder="1" applyAlignment="1">
      <alignment horizontal="right" vertical="top" wrapText="1"/>
    </xf>
    <xf numFmtId="0" fontId="9" fillId="0" borderId="9" xfId="0" applyFont="1" applyBorder="1" applyAlignment="1">
      <alignment horizontal="right" vertical="top" wrapText="1"/>
    </xf>
    <xf numFmtId="0" fontId="9" fillId="0" borderId="2" xfId="0" applyFont="1" applyBorder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40"/>
  <sheetViews>
    <sheetView tabSelected="1" topLeftCell="A23" zoomScale="75" workbookViewId="0">
      <selection activeCell="I32" sqref="I32"/>
    </sheetView>
  </sheetViews>
  <sheetFormatPr defaultRowHeight="13.2" x14ac:dyDescent="0.25"/>
  <cols>
    <col min="1" max="1" width="58.6640625" customWidth="1"/>
    <col min="2" max="2" width="15.33203125" customWidth="1"/>
    <col min="3" max="3" width="13.88671875" customWidth="1"/>
    <col min="4" max="4" width="14.6640625" customWidth="1"/>
    <col min="5" max="5" width="14.33203125" customWidth="1"/>
    <col min="6" max="6" width="14.6640625" customWidth="1"/>
    <col min="7" max="7" width="14.88671875" customWidth="1"/>
    <col min="8" max="8" width="14.5546875" customWidth="1"/>
    <col min="9" max="9" width="15" customWidth="1"/>
    <col min="10" max="13" width="15.44140625" customWidth="1"/>
    <col min="14" max="14" width="15.88671875" customWidth="1"/>
  </cols>
  <sheetData>
    <row r="1" spans="1:18" ht="20.25" customHeight="1" x14ac:dyDescent="0.4">
      <c r="A1" s="23" t="s">
        <v>24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</row>
    <row r="2" spans="1:18" ht="20.399999999999999" x14ac:dyDescent="0.35">
      <c r="A2" s="25" t="s">
        <v>42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</row>
    <row r="3" spans="1:18" ht="7.5" customHeight="1" thickBot="1" x14ac:dyDescent="0.3">
      <c r="A3" s="1"/>
      <c r="R3" s="2"/>
    </row>
    <row r="4" spans="1:18" ht="3" hidden="1" customHeight="1" thickBot="1" x14ac:dyDescent="0.3">
      <c r="A4" s="1"/>
    </row>
    <row r="5" spans="1:18" ht="38.25" customHeight="1" thickBot="1" x14ac:dyDescent="0.3">
      <c r="A5" s="4" t="s">
        <v>0</v>
      </c>
      <c r="B5" s="5" t="s">
        <v>28</v>
      </c>
      <c r="C5" s="5" t="s">
        <v>29</v>
      </c>
      <c r="D5" s="5" t="s">
        <v>30</v>
      </c>
      <c r="E5" s="5" t="s">
        <v>31</v>
      </c>
      <c r="F5" s="5" t="s">
        <v>32</v>
      </c>
      <c r="G5" s="5" t="s">
        <v>33</v>
      </c>
      <c r="H5" s="5" t="s">
        <v>34</v>
      </c>
      <c r="I5" s="5" t="s">
        <v>35</v>
      </c>
      <c r="J5" s="5" t="s">
        <v>36</v>
      </c>
      <c r="K5" s="5" t="s">
        <v>37</v>
      </c>
      <c r="L5" s="5" t="s">
        <v>38</v>
      </c>
      <c r="M5" s="5" t="s">
        <v>39</v>
      </c>
      <c r="N5" s="5" t="s">
        <v>40</v>
      </c>
    </row>
    <row r="6" spans="1:18" ht="27" customHeight="1" thickBot="1" x14ac:dyDescent="0.3">
      <c r="A6" s="6" t="s">
        <v>15</v>
      </c>
      <c r="B6" s="7">
        <v>-406763.22</v>
      </c>
      <c r="C6" s="7">
        <f>B37</f>
        <v>-383717.26127999998</v>
      </c>
      <c r="D6" s="7">
        <f t="shared" ref="D6:D7" si="0">C37</f>
        <v>-414190.08705999999</v>
      </c>
      <c r="E6" s="7">
        <f t="shared" ref="E6:E7" si="1">D37</f>
        <v>-418091.83834000002</v>
      </c>
      <c r="F6" s="7">
        <f t="shared" ref="F6:F7" si="2">E37</f>
        <v>-414998.30351</v>
      </c>
      <c r="G6" s="7">
        <f>F37</f>
        <v>-405017.15918000002</v>
      </c>
      <c r="H6" s="7">
        <f t="shared" ref="H6:J7" si="3">G37</f>
        <v>-356688.32149</v>
      </c>
      <c r="I6" s="7">
        <f t="shared" si="3"/>
        <v>-353903.5355</v>
      </c>
      <c r="J6" s="7">
        <f t="shared" si="3"/>
        <v>-354453.55038000003</v>
      </c>
      <c r="K6" s="7">
        <f t="shared" ref="K6:K7" si="4">J37</f>
        <v>-233661.70472000004</v>
      </c>
      <c r="L6" s="7">
        <f t="shared" ref="L6:L7" si="5">K37</f>
        <v>-222053.46662000005</v>
      </c>
      <c r="M6" s="7">
        <f t="shared" ref="M6:M7" si="6">L37</f>
        <v>-218085.83253000004</v>
      </c>
      <c r="N6" s="7">
        <f>B6</f>
        <v>-406763.22</v>
      </c>
    </row>
    <row r="7" spans="1:18" ht="26.4" customHeight="1" thickBot="1" x14ac:dyDescent="0.3">
      <c r="A7" s="6" t="s">
        <v>13</v>
      </c>
      <c r="B7" s="7">
        <v>-904426.84</v>
      </c>
      <c r="C7" s="7">
        <f>B38</f>
        <v>-904105.05999999994</v>
      </c>
      <c r="D7" s="7">
        <f t="shared" si="0"/>
        <v>-910882.12999999989</v>
      </c>
      <c r="E7" s="7">
        <f t="shared" si="1"/>
        <v>-917813.34999999986</v>
      </c>
      <c r="F7" s="7">
        <f t="shared" si="2"/>
        <v>-915411.58999999985</v>
      </c>
      <c r="G7" s="7">
        <f t="shared" ref="G7" si="7">F38</f>
        <v>-920630.47999999986</v>
      </c>
      <c r="H7" s="7">
        <f t="shared" si="3"/>
        <v>-893566.2699999999</v>
      </c>
      <c r="I7" s="7">
        <f t="shared" si="3"/>
        <v>-902170.12999999989</v>
      </c>
      <c r="J7" s="7">
        <f t="shared" si="3"/>
        <v>-879074.83999999985</v>
      </c>
      <c r="K7" s="7">
        <f t="shared" si="4"/>
        <v>-784397.64999999991</v>
      </c>
      <c r="L7" s="7">
        <f t="shared" si="5"/>
        <v>-789077.33999999985</v>
      </c>
      <c r="M7" s="7">
        <f t="shared" si="6"/>
        <v>-793261.47999999986</v>
      </c>
      <c r="N7" s="7">
        <f>B7</f>
        <v>-904426.84</v>
      </c>
    </row>
    <row r="8" spans="1:18" ht="24.6" customHeight="1" thickBot="1" x14ac:dyDescent="0.3">
      <c r="A8" s="8" t="s">
        <v>12</v>
      </c>
      <c r="B8" s="9">
        <f>SUM(B9:B14)</f>
        <v>63089.960000000006</v>
      </c>
      <c r="C8" s="9">
        <f>SUM(C9:C14)</f>
        <v>63089.960000000006</v>
      </c>
      <c r="D8" s="9">
        <f>SUM(D9:D14)</f>
        <v>63089.960000000006</v>
      </c>
      <c r="E8" s="9">
        <f t="shared" ref="E8:M8" si="8">SUM(E9:E14)</f>
        <v>63099.29</v>
      </c>
      <c r="F8" s="9">
        <f t="shared" si="8"/>
        <v>63099.29</v>
      </c>
      <c r="G8" s="9">
        <f t="shared" si="8"/>
        <v>63099.17</v>
      </c>
      <c r="H8" s="9">
        <f t="shared" si="8"/>
        <v>63323.77</v>
      </c>
      <c r="I8" s="9">
        <f t="shared" si="8"/>
        <v>59284.06</v>
      </c>
      <c r="J8" s="9">
        <f t="shared" si="8"/>
        <v>78507.88</v>
      </c>
      <c r="K8" s="9">
        <f t="shared" si="8"/>
        <v>65257.2</v>
      </c>
      <c r="L8" s="9">
        <f t="shared" si="8"/>
        <v>65311.87</v>
      </c>
      <c r="M8" s="9">
        <f t="shared" si="8"/>
        <v>73451.850000000006</v>
      </c>
      <c r="N8" s="9">
        <f>SUM(B8:M8)</f>
        <v>783704.26</v>
      </c>
    </row>
    <row r="9" spans="1:18" ht="27.6" customHeight="1" thickBot="1" x14ac:dyDescent="0.3">
      <c r="A9" s="3" t="s">
        <v>27</v>
      </c>
      <c r="B9" s="10">
        <f>54782.3+444.75+1214.79</f>
        <v>56441.840000000004</v>
      </c>
      <c r="C9" s="10">
        <f>54782.3+444.75+1214.79</f>
        <v>56441.840000000004</v>
      </c>
      <c r="D9" s="10">
        <f>54782.3+444.75+1214.79</f>
        <v>56441.840000000004</v>
      </c>
      <c r="E9" s="10">
        <f t="shared" ref="E9:J9" si="9">54791.54+444.83+1215</f>
        <v>56451.37</v>
      </c>
      <c r="F9" s="10">
        <f t="shared" si="9"/>
        <v>56451.37</v>
      </c>
      <c r="G9" s="10">
        <f t="shared" si="9"/>
        <v>56451.37</v>
      </c>
      <c r="H9" s="10">
        <f t="shared" si="9"/>
        <v>56451.37</v>
      </c>
      <c r="I9" s="10">
        <f t="shared" si="9"/>
        <v>56451.37</v>
      </c>
      <c r="J9" s="10">
        <f t="shared" si="9"/>
        <v>56451.37</v>
      </c>
      <c r="K9" s="10">
        <f>54791.54+444.83+1215</f>
        <v>56451.37</v>
      </c>
      <c r="L9" s="10">
        <f>54791.54+444.83+1215</f>
        <v>56451.37</v>
      </c>
      <c r="M9" s="10">
        <f>54791.54+444.83+1215</f>
        <v>56451.37</v>
      </c>
      <c r="N9" s="10">
        <f>SUM(B9:M9)</f>
        <v>677387.85</v>
      </c>
    </row>
    <row r="10" spans="1:18" ht="27.6" customHeight="1" thickBot="1" x14ac:dyDescent="0.3">
      <c r="A10" s="3" t="s">
        <v>16</v>
      </c>
      <c r="B10" s="10">
        <v>2073.4699999999998</v>
      </c>
      <c r="C10" s="10">
        <v>2073.4699999999998</v>
      </c>
      <c r="D10" s="10">
        <v>2073.4699999999998</v>
      </c>
      <c r="E10" s="10">
        <v>2073.17</v>
      </c>
      <c r="F10" s="10">
        <v>2073.17</v>
      </c>
      <c r="G10" s="10">
        <v>2073.17</v>
      </c>
      <c r="H10" s="10">
        <v>2157.0700000000002</v>
      </c>
      <c r="I10" s="10">
        <v>-2157.12</v>
      </c>
      <c r="J10" s="10">
        <v>0</v>
      </c>
      <c r="K10" s="10">
        <v>0</v>
      </c>
      <c r="L10" s="10">
        <v>0</v>
      </c>
      <c r="M10" s="10">
        <v>0</v>
      </c>
      <c r="N10" s="10">
        <f t="shared" ref="N10:N14" si="10">SUM(B10:M10)</f>
        <v>12439.869999999999</v>
      </c>
    </row>
    <row r="11" spans="1:18" ht="27.6" customHeight="1" thickBot="1" x14ac:dyDescent="0.3">
      <c r="A11" s="3" t="s">
        <v>17</v>
      </c>
      <c r="B11" s="10">
        <v>477.41</v>
      </c>
      <c r="C11" s="10">
        <v>477.41</v>
      </c>
      <c r="D11" s="10">
        <v>477.41</v>
      </c>
      <c r="E11" s="10">
        <v>477.47</v>
      </c>
      <c r="F11" s="10">
        <v>477.47</v>
      </c>
      <c r="G11" s="10">
        <v>477.35</v>
      </c>
      <c r="H11" s="10">
        <v>477.35</v>
      </c>
      <c r="I11" s="10">
        <v>0</v>
      </c>
      <c r="J11" s="10">
        <v>0</v>
      </c>
      <c r="K11" s="10">
        <v>1013.6</v>
      </c>
      <c r="L11" s="10">
        <v>506.75</v>
      </c>
      <c r="M11" s="10">
        <v>506.75</v>
      </c>
      <c r="N11" s="10">
        <f t="shared" si="10"/>
        <v>5368.97</v>
      </c>
    </row>
    <row r="12" spans="1:18" ht="27.6" customHeight="1" thickBot="1" x14ac:dyDescent="0.3">
      <c r="A12" s="3" t="s">
        <v>18</v>
      </c>
      <c r="B12" s="10">
        <v>2644.36</v>
      </c>
      <c r="C12" s="10">
        <v>2644.36</v>
      </c>
      <c r="D12" s="10">
        <v>2644.36</v>
      </c>
      <c r="E12" s="10">
        <v>2644.36</v>
      </c>
      <c r="F12" s="10">
        <v>2644.36</v>
      </c>
      <c r="G12" s="10">
        <v>2644.36</v>
      </c>
      <c r="H12" s="10">
        <v>2772.92</v>
      </c>
      <c r="I12" s="10">
        <v>3524.75</v>
      </c>
      <c r="J12" s="10">
        <v>20595.96</v>
      </c>
      <c r="K12" s="10">
        <v>6327.17</v>
      </c>
      <c r="L12" s="10">
        <v>6888.69</v>
      </c>
      <c r="M12" s="10">
        <v>15028.67</v>
      </c>
      <c r="N12" s="10">
        <f t="shared" si="10"/>
        <v>71004.320000000007</v>
      </c>
    </row>
    <row r="13" spans="1:18" ht="27.6" customHeight="1" thickBot="1" x14ac:dyDescent="0.3">
      <c r="A13" s="3" t="s">
        <v>26</v>
      </c>
      <c r="B13" s="10">
        <v>682.88</v>
      </c>
      <c r="C13" s="10">
        <v>682.88</v>
      </c>
      <c r="D13" s="10">
        <v>682.88</v>
      </c>
      <c r="E13" s="10">
        <v>682.92</v>
      </c>
      <c r="F13" s="10">
        <v>682.92</v>
      </c>
      <c r="G13" s="10">
        <v>682.92</v>
      </c>
      <c r="H13" s="10">
        <v>695.06</v>
      </c>
      <c r="I13" s="10">
        <v>695.06</v>
      </c>
      <c r="J13" s="10">
        <v>690.55</v>
      </c>
      <c r="K13" s="10">
        <v>695.06</v>
      </c>
      <c r="L13" s="10">
        <v>695.06</v>
      </c>
      <c r="M13" s="10">
        <v>695.06</v>
      </c>
      <c r="N13" s="10">
        <f t="shared" si="10"/>
        <v>8263.2499999999982</v>
      </c>
    </row>
    <row r="14" spans="1:18" ht="27.6" customHeight="1" thickBot="1" x14ac:dyDescent="0.3">
      <c r="A14" s="3" t="s">
        <v>14</v>
      </c>
      <c r="B14" s="10">
        <v>770</v>
      </c>
      <c r="C14" s="10">
        <v>770</v>
      </c>
      <c r="D14" s="10">
        <v>770</v>
      </c>
      <c r="E14" s="10">
        <v>770</v>
      </c>
      <c r="F14" s="10">
        <v>770</v>
      </c>
      <c r="G14" s="10">
        <v>770</v>
      </c>
      <c r="H14" s="10">
        <v>770</v>
      </c>
      <c r="I14" s="10">
        <v>770</v>
      </c>
      <c r="J14" s="10">
        <v>770</v>
      </c>
      <c r="K14" s="10">
        <v>770</v>
      </c>
      <c r="L14" s="10">
        <v>770</v>
      </c>
      <c r="M14" s="10">
        <v>770</v>
      </c>
      <c r="N14" s="10">
        <f t="shared" si="10"/>
        <v>9240</v>
      </c>
    </row>
    <row r="15" spans="1:18" ht="24" customHeight="1" thickBot="1" x14ac:dyDescent="0.3">
      <c r="A15" s="11" t="s">
        <v>8</v>
      </c>
      <c r="B15" s="12">
        <f>SUM(B16:B21)</f>
        <v>63411.74</v>
      </c>
      <c r="C15" s="12">
        <f>SUM(C16:C21)</f>
        <v>56312.890000000007</v>
      </c>
      <c r="D15" s="12">
        <f>SUM(D16:D21)</f>
        <v>56158.740000000005</v>
      </c>
      <c r="E15" s="12">
        <f t="shared" ref="E15:M15" si="11">SUM(E16:E21)</f>
        <v>65501.05000000001</v>
      </c>
      <c r="F15" s="12">
        <f t="shared" si="11"/>
        <v>57880.399999999994</v>
      </c>
      <c r="G15" s="12">
        <f t="shared" si="11"/>
        <v>90163.38</v>
      </c>
      <c r="H15" s="12">
        <f t="shared" si="11"/>
        <v>54719.909999999996</v>
      </c>
      <c r="I15" s="12">
        <f t="shared" si="11"/>
        <v>82379.350000000006</v>
      </c>
      <c r="J15" s="12">
        <f t="shared" si="11"/>
        <v>173185.06999999998</v>
      </c>
      <c r="K15" s="12">
        <f t="shared" si="11"/>
        <v>60577.51</v>
      </c>
      <c r="L15" s="12">
        <f t="shared" si="11"/>
        <v>61127.73</v>
      </c>
      <c r="M15" s="12">
        <f t="shared" si="11"/>
        <v>69471.8</v>
      </c>
      <c r="N15" s="12">
        <f>SUM(B15:M15)</f>
        <v>890889.57</v>
      </c>
    </row>
    <row r="16" spans="1:18" ht="29.4" customHeight="1" thickBot="1" x14ac:dyDescent="0.3">
      <c r="A16" s="3" t="s">
        <v>27</v>
      </c>
      <c r="B16" s="18">
        <f>56552.27+303.34+4.42+831.3</f>
        <v>57691.329999999994</v>
      </c>
      <c r="C16" s="10">
        <f>48882.95+458.91+100.69+1118.73</f>
        <v>50561.280000000006</v>
      </c>
      <c r="D16" s="10">
        <f>47839.15+658.79+330.14+1372.9</f>
        <v>50200.98</v>
      </c>
      <c r="E16" s="10">
        <f>57033.38+371.3+88.51+1276.01</f>
        <v>58769.200000000004</v>
      </c>
      <c r="F16" s="10">
        <f>50977.72+385.89+1056.74</f>
        <v>52420.35</v>
      </c>
      <c r="G16" s="10">
        <f>80042.42+425.99+136.37+1254.19</f>
        <v>81858.97</v>
      </c>
      <c r="H16" s="10">
        <f>47545.55+344.74+945.97</f>
        <v>48836.26</v>
      </c>
      <c r="I16" s="10">
        <f>74627.67+418.67+82.71+1140.27+1.27</f>
        <v>76270.590000000011</v>
      </c>
      <c r="J16" s="10">
        <f>164513.93+355.49+0.71+975.13</f>
        <v>165845.25999999998</v>
      </c>
      <c r="K16" s="10">
        <f>44339.01+343.27+0.5+941.97</f>
        <v>45624.75</v>
      </c>
      <c r="L16" s="10">
        <f>52257.11+323.4+147.23+891.06+1.19</f>
        <v>53619.990000000005</v>
      </c>
      <c r="M16" s="10">
        <f>59777.61+393.15+40.2+1078.28+26.4</f>
        <v>61315.64</v>
      </c>
      <c r="N16" s="10">
        <f>SUM(B16:M16)</f>
        <v>803014.6</v>
      </c>
    </row>
    <row r="17" spans="1:14" ht="29.4" customHeight="1" thickBot="1" x14ac:dyDescent="0.3">
      <c r="A17" s="3" t="s">
        <v>16</v>
      </c>
      <c r="B17" s="18">
        <v>2407.9299999999998</v>
      </c>
      <c r="C17" s="10">
        <v>1832.15</v>
      </c>
      <c r="D17" s="10">
        <v>1724.05</v>
      </c>
      <c r="E17" s="10">
        <v>2101.39</v>
      </c>
      <c r="F17" s="10">
        <v>1656.25</v>
      </c>
      <c r="G17" s="10">
        <v>2551.21</v>
      </c>
      <c r="H17" s="10">
        <v>1801.77</v>
      </c>
      <c r="I17" s="10">
        <v>904.63</v>
      </c>
      <c r="J17" s="10">
        <v>933.37</v>
      </c>
      <c r="K17" s="10">
        <v>87.08</v>
      </c>
      <c r="L17" s="10">
        <v>247.37</v>
      </c>
      <c r="M17" s="10">
        <v>330.61</v>
      </c>
      <c r="N17" s="10">
        <f t="shared" ref="N17:N21" si="12">SUM(B17:M17)</f>
        <v>16577.810000000001</v>
      </c>
    </row>
    <row r="18" spans="1:14" ht="29.4" customHeight="1" thickBot="1" x14ac:dyDescent="0.3">
      <c r="A18" s="3" t="s">
        <v>17</v>
      </c>
      <c r="B18" s="18">
        <v>333.4</v>
      </c>
      <c r="C18" s="10">
        <v>421.6</v>
      </c>
      <c r="D18" s="10">
        <v>393.15</v>
      </c>
      <c r="E18" s="10">
        <v>476.55</v>
      </c>
      <c r="F18" s="10">
        <v>399.36</v>
      </c>
      <c r="G18" s="10">
        <v>639.73</v>
      </c>
      <c r="H18" s="10">
        <v>409.28</v>
      </c>
      <c r="I18" s="10">
        <v>508.43</v>
      </c>
      <c r="J18" s="10">
        <v>261.69</v>
      </c>
      <c r="K18" s="10">
        <v>78.819999999999993</v>
      </c>
      <c r="L18" s="10">
        <v>714.42</v>
      </c>
      <c r="M18" s="10">
        <v>496.67</v>
      </c>
      <c r="N18" s="10">
        <f t="shared" si="12"/>
        <v>5133.0999999999995</v>
      </c>
    </row>
    <row r="19" spans="1:14" ht="29.4" customHeight="1" thickBot="1" x14ac:dyDescent="0.3">
      <c r="A19" s="3" t="s">
        <v>18</v>
      </c>
      <c r="B19" s="18">
        <v>1802.69</v>
      </c>
      <c r="C19" s="10">
        <v>2184.37</v>
      </c>
      <c r="D19" s="10">
        <v>2436.1799999999998</v>
      </c>
      <c r="E19" s="10">
        <v>2760.04</v>
      </c>
      <c r="F19" s="10">
        <v>2133.4499999999998</v>
      </c>
      <c r="G19" s="10">
        <v>3571.63</v>
      </c>
      <c r="H19" s="10">
        <v>2392.06</v>
      </c>
      <c r="I19" s="10">
        <v>3209.2</v>
      </c>
      <c r="J19" s="10">
        <v>4682.72</v>
      </c>
      <c r="K19" s="10">
        <v>13098.58</v>
      </c>
      <c r="L19" s="10">
        <v>5262.27</v>
      </c>
      <c r="M19" s="10">
        <v>5983.88</v>
      </c>
      <c r="N19" s="10">
        <f t="shared" si="12"/>
        <v>49517.07</v>
      </c>
    </row>
    <row r="20" spans="1:14" ht="29.4" customHeight="1" thickBot="1" x14ac:dyDescent="0.3">
      <c r="A20" s="3" t="s">
        <v>26</v>
      </c>
      <c r="B20" s="18">
        <v>476.39</v>
      </c>
      <c r="C20" s="10">
        <v>613.49</v>
      </c>
      <c r="D20" s="10">
        <v>564.38</v>
      </c>
      <c r="E20" s="10">
        <v>693.87</v>
      </c>
      <c r="F20" s="10">
        <v>570.99</v>
      </c>
      <c r="G20" s="10">
        <v>841.84</v>
      </c>
      <c r="H20" s="10">
        <v>580.54</v>
      </c>
      <c r="I20" s="10">
        <v>786.5</v>
      </c>
      <c r="J20" s="10">
        <v>762.03</v>
      </c>
      <c r="K20" s="10">
        <v>498.28</v>
      </c>
      <c r="L20" s="10">
        <v>583.67999999999995</v>
      </c>
      <c r="M20" s="10">
        <v>645</v>
      </c>
      <c r="N20" s="10">
        <f t="shared" si="12"/>
        <v>7616.99</v>
      </c>
    </row>
    <row r="21" spans="1:14" ht="29.4" customHeight="1" thickBot="1" x14ac:dyDescent="0.3">
      <c r="A21" s="3" t="s">
        <v>14</v>
      </c>
      <c r="B21" s="18">
        <v>700</v>
      </c>
      <c r="C21" s="10">
        <v>700</v>
      </c>
      <c r="D21" s="10">
        <v>840</v>
      </c>
      <c r="E21" s="10">
        <v>700</v>
      </c>
      <c r="F21" s="10">
        <v>700</v>
      </c>
      <c r="G21" s="10">
        <v>700</v>
      </c>
      <c r="H21" s="10">
        <v>700</v>
      </c>
      <c r="I21" s="10">
        <v>700</v>
      </c>
      <c r="J21" s="10">
        <v>700</v>
      </c>
      <c r="K21" s="10">
        <v>1190</v>
      </c>
      <c r="L21" s="10">
        <v>700</v>
      </c>
      <c r="M21" s="10">
        <v>700</v>
      </c>
      <c r="N21" s="10">
        <f t="shared" si="12"/>
        <v>9030</v>
      </c>
    </row>
    <row r="22" spans="1:14" ht="21.75" customHeight="1" thickBot="1" x14ac:dyDescent="0.3">
      <c r="A22" s="14" t="s">
        <v>23</v>
      </c>
      <c r="B22" s="15"/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16"/>
    </row>
    <row r="23" spans="1:14" ht="24.6" customHeight="1" thickBot="1" x14ac:dyDescent="0.3">
      <c r="A23" s="3" t="s">
        <v>1</v>
      </c>
      <c r="B23" s="10">
        <f t="shared" ref="B23:M23" si="13">2963*0.55</f>
        <v>1629.65</v>
      </c>
      <c r="C23" s="10">
        <f t="shared" si="13"/>
        <v>1629.65</v>
      </c>
      <c r="D23" s="10">
        <f t="shared" si="13"/>
        <v>1629.65</v>
      </c>
      <c r="E23" s="10">
        <f t="shared" si="13"/>
        <v>1629.65</v>
      </c>
      <c r="F23" s="10">
        <f t="shared" si="13"/>
        <v>1629.65</v>
      </c>
      <c r="G23" s="10">
        <f t="shared" si="13"/>
        <v>1629.65</v>
      </c>
      <c r="H23" s="10">
        <f t="shared" si="13"/>
        <v>1629.65</v>
      </c>
      <c r="I23" s="10">
        <f t="shared" si="13"/>
        <v>1629.65</v>
      </c>
      <c r="J23" s="10">
        <f t="shared" si="13"/>
        <v>1629.65</v>
      </c>
      <c r="K23" s="10">
        <f t="shared" si="13"/>
        <v>1629.65</v>
      </c>
      <c r="L23" s="10">
        <f t="shared" si="13"/>
        <v>1629.65</v>
      </c>
      <c r="M23" s="10">
        <f t="shared" si="13"/>
        <v>1629.65</v>
      </c>
      <c r="N23" s="10">
        <f t="shared" ref="N23:N34" si="14">SUM(B23:M23)</f>
        <v>19555.8</v>
      </c>
    </row>
    <row r="24" spans="1:14" ht="24.6" customHeight="1" thickBot="1" x14ac:dyDescent="0.3">
      <c r="A24" s="3" t="s">
        <v>2</v>
      </c>
      <c r="B24" s="10">
        <f t="shared" ref="B24:C24" si="15">2963*0.17</f>
        <v>503.71000000000004</v>
      </c>
      <c r="C24" s="10">
        <f t="shared" si="15"/>
        <v>503.71000000000004</v>
      </c>
      <c r="D24" s="10">
        <f>2963*0.17</f>
        <v>503.71000000000004</v>
      </c>
      <c r="E24" s="10">
        <f t="shared" ref="E24:M24" si="16">2963*0.17</f>
        <v>503.71000000000004</v>
      </c>
      <c r="F24" s="10">
        <f t="shared" si="16"/>
        <v>503.71000000000004</v>
      </c>
      <c r="G24" s="10">
        <f t="shared" si="16"/>
        <v>503.71000000000004</v>
      </c>
      <c r="H24" s="10">
        <f t="shared" si="16"/>
        <v>503.71000000000004</v>
      </c>
      <c r="I24" s="10">
        <f t="shared" si="16"/>
        <v>503.71000000000004</v>
      </c>
      <c r="J24" s="10">
        <f t="shared" si="16"/>
        <v>503.71000000000004</v>
      </c>
      <c r="K24" s="10">
        <f t="shared" si="16"/>
        <v>503.71000000000004</v>
      </c>
      <c r="L24" s="10">
        <f t="shared" si="16"/>
        <v>503.71000000000004</v>
      </c>
      <c r="M24" s="10">
        <f t="shared" si="16"/>
        <v>503.71000000000004</v>
      </c>
      <c r="N24" s="10">
        <f t="shared" si="14"/>
        <v>6044.52</v>
      </c>
    </row>
    <row r="25" spans="1:14" ht="24.6" customHeight="1" thickBot="1" x14ac:dyDescent="0.3">
      <c r="A25" s="3" t="s">
        <v>3</v>
      </c>
      <c r="B25" s="10">
        <f>62319.96*2.3%</f>
        <v>1433.3590799999999</v>
      </c>
      <c r="C25" s="10">
        <f>62319.96*2.3%</f>
        <v>1433.3590799999999</v>
      </c>
      <c r="D25" s="10">
        <f>62319.96*2.3%</f>
        <v>1433.3590799999999</v>
      </c>
      <c r="E25" s="10">
        <f>62329.29*2.3%</f>
        <v>1433.57367</v>
      </c>
      <c r="F25" s="10">
        <f>62329.29*2.3%</f>
        <v>1433.57367</v>
      </c>
      <c r="G25" s="10">
        <f>62329.17*2.3%</f>
        <v>1433.5709099999999</v>
      </c>
      <c r="H25" s="10">
        <f>62553.77*2.3%</f>
        <v>1438.7367099999999</v>
      </c>
      <c r="I25" s="10">
        <f>58514.06*2.3%</f>
        <v>1345.8233799999998</v>
      </c>
      <c r="J25" s="10">
        <f>77737.88*2.3%</f>
        <v>1787.9712400000001</v>
      </c>
      <c r="K25" s="10">
        <f>64487.2*2.3%</f>
        <v>1483.2056</v>
      </c>
      <c r="L25" s="10">
        <f>64541.87*2.3%</f>
        <v>1484.4630099999999</v>
      </c>
      <c r="M25" s="10">
        <f>72681.85*2.3%</f>
        <v>1671.68255</v>
      </c>
      <c r="N25" s="10">
        <f t="shared" si="14"/>
        <v>17812.677979999997</v>
      </c>
    </row>
    <row r="26" spans="1:14" ht="24.6" customHeight="1" thickBot="1" x14ac:dyDescent="0.3">
      <c r="A26" s="3" t="s">
        <v>4</v>
      </c>
      <c r="B26" s="10">
        <f>62711.74*3%</f>
        <v>1881.3521999999998</v>
      </c>
      <c r="C26" s="10">
        <f>55612.89*3%</f>
        <v>1668.3867</v>
      </c>
      <c r="D26" s="10">
        <f>55318.74*3%</f>
        <v>1659.5621999999998</v>
      </c>
      <c r="E26" s="10">
        <f>64801.05*3%</f>
        <v>1944.0315000000001</v>
      </c>
      <c r="F26" s="10">
        <f>57180.4*3%</f>
        <v>1715.412</v>
      </c>
      <c r="G26" s="10">
        <f>89463.38*3%</f>
        <v>2683.9014000000002</v>
      </c>
      <c r="H26" s="10">
        <f>54019.91*3%</f>
        <v>1620.5973000000001</v>
      </c>
      <c r="I26" s="10">
        <f>81679.35*3%</f>
        <v>2450.3805000000002</v>
      </c>
      <c r="J26" s="10">
        <f>172485.07*3%</f>
        <v>5174.5520999999999</v>
      </c>
      <c r="K26" s="10">
        <f>59387.51*3%</f>
        <v>1781.6252999999999</v>
      </c>
      <c r="L26" s="10">
        <f>60427.73*3%</f>
        <v>1812.8319000000001</v>
      </c>
      <c r="M26" s="10">
        <f>68771.8*3%</f>
        <v>2063.154</v>
      </c>
      <c r="N26" s="10">
        <f t="shared" si="14"/>
        <v>26455.787100000001</v>
      </c>
    </row>
    <row r="27" spans="1:14" ht="24.6" customHeight="1" thickBot="1" x14ac:dyDescent="0.3">
      <c r="A27" s="3" t="s">
        <v>9</v>
      </c>
      <c r="B27" s="10">
        <v>21926.2</v>
      </c>
      <c r="C27" s="10">
        <v>21926.2</v>
      </c>
      <c r="D27" s="10">
        <v>21926.2</v>
      </c>
      <c r="E27" s="10">
        <v>21926.2</v>
      </c>
      <c r="F27" s="10">
        <v>21926.2</v>
      </c>
      <c r="G27" s="10">
        <v>21926.2</v>
      </c>
      <c r="H27" s="10">
        <v>21926.2</v>
      </c>
      <c r="I27" s="10">
        <f>2963.3*7.4</f>
        <v>21928.420000000002</v>
      </c>
      <c r="J27" s="10">
        <f>2963.3*7.4</f>
        <v>21928.420000000002</v>
      </c>
      <c r="K27" s="10">
        <f>2963.3*8.5</f>
        <v>25188.050000000003</v>
      </c>
      <c r="L27" s="10">
        <f t="shared" ref="L27:M27" si="17">2963.3*8.5</f>
        <v>25188.050000000003</v>
      </c>
      <c r="M27" s="10">
        <f t="shared" si="17"/>
        <v>25188.050000000003</v>
      </c>
      <c r="N27" s="10">
        <f t="shared" si="14"/>
        <v>272904.39</v>
      </c>
    </row>
    <row r="28" spans="1:14" ht="24.6" customHeight="1" thickBot="1" x14ac:dyDescent="0.3">
      <c r="A28" s="3" t="s">
        <v>19</v>
      </c>
      <c r="B28" s="10">
        <v>0</v>
      </c>
      <c r="C28" s="10">
        <v>0</v>
      </c>
      <c r="D28" s="10">
        <v>0</v>
      </c>
      <c r="E28" s="10">
        <f>7294.97+991.67</f>
        <v>8286.64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10">
        <v>0</v>
      </c>
      <c r="L28" s="10">
        <v>0</v>
      </c>
      <c r="M28" s="10">
        <v>0</v>
      </c>
      <c r="N28" s="10">
        <f t="shared" si="14"/>
        <v>8286.64</v>
      </c>
    </row>
    <row r="29" spans="1:14" ht="24.6" customHeight="1" thickBot="1" x14ac:dyDescent="0.3">
      <c r="A29" s="3" t="s">
        <v>20</v>
      </c>
      <c r="B29" s="10">
        <v>477.48</v>
      </c>
      <c r="C29" s="10">
        <v>477.48</v>
      </c>
      <c r="D29" s="10">
        <v>477.48</v>
      </c>
      <c r="E29" s="10">
        <v>477.48</v>
      </c>
      <c r="F29" s="10">
        <v>477.48</v>
      </c>
      <c r="G29" s="10">
        <v>477.48</v>
      </c>
      <c r="H29" s="10">
        <v>506.84</v>
      </c>
      <c r="I29" s="10">
        <v>506.84</v>
      </c>
      <c r="J29" s="10">
        <v>506.84</v>
      </c>
      <c r="K29" s="10">
        <v>506.84</v>
      </c>
      <c r="L29" s="10">
        <v>506.84</v>
      </c>
      <c r="M29" s="10">
        <v>506.84</v>
      </c>
      <c r="N29" s="10">
        <f t="shared" si="14"/>
        <v>5905.920000000001</v>
      </c>
    </row>
    <row r="30" spans="1:14" ht="24.6" customHeight="1" thickBot="1" x14ac:dyDescent="0.3">
      <c r="A30" s="3" t="s">
        <v>21</v>
      </c>
      <c r="B30" s="10">
        <v>1438.5</v>
      </c>
      <c r="C30" s="10">
        <v>46434.5</v>
      </c>
      <c r="D30" s="10">
        <v>18683</v>
      </c>
      <c r="E30" s="10">
        <v>2702</v>
      </c>
      <c r="F30" s="10">
        <v>7413</v>
      </c>
      <c r="G30" s="10">
        <v>0</v>
      </c>
      <c r="H30" s="10">
        <v>6297.72</v>
      </c>
      <c r="I30" s="10">
        <v>20963.04</v>
      </c>
      <c r="J30" s="10">
        <v>6327.08</v>
      </c>
      <c r="K30" s="10">
        <v>6888.59</v>
      </c>
      <c r="L30" s="10">
        <v>15028.65</v>
      </c>
      <c r="M30" s="10">
        <v>37874.400000000001</v>
      </c>
      <c r="N30" s="10">
        <f t="shared" si="14"/>
        <v>170050.48</v>
      </c>
    </row>
    <row r="31" spans="1:14" ht="24.6" customHeight="1" thickBot="1" x14ac:dyDescent="0.3">
      <c r="A31" s="3" t="s">
        <v>26</v>
      </c>
      <c r="B31" s="10">
        <v>682.72</v>
      </c>
      <c r="C31" s="10">
        <v>682.72</v>
      </c>
      <c r="D31" s="10">
        <v>682.72</v>
      </c>
      <c r="E31" s="10">
        <v>682.72</v>
      </c>
      <c r="F31" s="10">
        <v>682.72</v>
      </c>
      <c r="G31" s="10">
        <v>682.72</v>
      </c>
      <c r="H31" s="10">
        <v>694.96</v>
      </c>
      <c r="I31" s="10">
        <v>694.96</v>
      </c>
      <c r="J31" s="10">
        <v>694.96</v>
      </c>
      <c r="K31" s="10">
        <v>694.96</v>
      </c>
      <c r="L31" s="10">
        <v>694.96</v>
      </c>
      <c r="M31" s="10">
        <v>694.96</v>
      </c>
      <c r="N31" s="10">
        <f t="shared" si="14"/>
        <v>8266.0800000000017</v>
      </c>
    </row>
    <row r="32" spans="1:14" ht="24.6" customHeight="1" thickBot="1" x14ac:dyDescent="0.3">
      <c r="A32" s="3" t="s">
        <v>6</v>
      </c>
      <c r="B32" s="10">
        <f>2963*2.77</f>
        <v>8207.51</v>
      </c>
      <c r="C32" s="10">
        <f t="shared" ref="C32:H32" si="18">2963*2.77</f>
        <v>8207.51</v>
      </c>
      <c r="D32" s="10">
        <f t="shared" si="18"/>
        <v>8207.51</v>
      </c>
      <c r="E32" s="10">
        <f t="shared" si="18"/>
        <v>8207.51</v>
      </c>
      <c r="F32" s="10">
        <f t="shared" si="18"/>
        <v>8207.51</v>
      </c>
      <c r="G32" s="10">
        <f t="shared" si="18"/>
        <v>8207.51</v>
      </c>
      <c r="H32" s="10">
        <f t="shared" si="18"/>
        <v>8207.51</v>
      </c>
      <c r="I32" s="10">
        <f>2963.3*2.77</f>
        <v>8208.3410000000003</v>
      </c>
      <c r="J32" s="10">
        <f>2963.3*2.77</f>
        <v>8208.3410000000003</v>
      </c>
      <c r="K32" s="10">
        <f t="shared" ref="K32:M32" si="19">2963.3*2.77</f>
        <v>8208.3410000000003</v>
      </c>
      <c r="L32" s="10">
        <f t="shared" si="19"/>
        <v>8208.3410000000003</v>
      </c>
      <c r="M32" s="10">
        <f t="shared" si="19"/>
        <v>8208.3410000000003</v>
      </c>
      <c r="N32" s="10">
        <f t="shared" si="14"/>
        <v>98494.275000000009</v>
      </c>
    </row>
    <row r="33" spans="1:14" ht="24.6" customHeight="1" thickBot="1" x14ac:dyDescent="0.3">
      <c r="A33" s="3" t="s">
        <v>25</v>
      </c>
      <c r="B33" s="10">
        <v>1140</v>
      </c>
      <c r="C33" s="10">
        <v>1140</v>
      </c>
      <c r="D33" s="10">
        <v>1140</v>
      </c>
      <c r="E33" s="10">
        <v>1140</v>
      </c>
      <c r="F33" s="10">
        <v>1140</v>
      </c>
      <c r="G33" s="10">
        <v>1140</v>
      </c>
      <c r="H33" s="10">
        <f>1140</f>
        <v>1140</v>
      </c>
      <c r="I33" s="10">
        <f>1140</f>
        <v>1140</v>
      </c>
      <c r="J33" s="10">
        <f>1140</f>
        <v>1140</v>
      </c>
      <c r="K33" s="10">
        <f>1140</f>
        <v>1140</v>
      </c>
      <c r="L33" s="10">
        <f>1140</f>
        <v>1140</v>
      </c>
      <c r="M33" s="10">
        <f>1140</f>
        <v>1140</v>
      </c>
      <c r="N33" s="10">
        <f t="shared" si="14"/>
        <v>13680</v>
      </c>
    </row>
    <row r="34" spans="1:14" ht="24.6" customHeight="1" thickBot="1" x14ac:dyDescent="0.3">
      <c r="A34" s="3" t="s">
        <v>10</v>
      </c>
      <c r="B34" s="10">
        <f>595.3+150+300</f>
        <v>1045.3</v>
      </c>
      <c r="C34" s="10">
        <f>511.5+206.5+1144.2+745+75</f>
        <v>2682.2</v>
      </c>
      <c r="D34" s="10">
        <f>150+271.9+75+290.1+2930.3</f>
        <v>3717.3</v>
      </c>
      <c r="E34" s="10">
        <f>150+1319.3+1258.7+10746</f>
        <v>13474</v>
      </c>
      <c r="F34" s="10">
        <f>2770</f>
        <v>2770</v>
      </c>
      <c r="G34" s="10">
        <f>1516.1+1633.7</f>
        <v>3149.8</v>
      </c>
      <c r="H34" s="10">
        <f>95+1374.2+6500</f>
        <v>7969.2</v>
      </c>
      <c r="I34" s="10">
        <f>300+1500+10609.8+11148.4</f>
        <v>23558.199999999997</v>
      </c>
      <c r="J34" s="10">
        <f>4491.7</f>
        <v>4491.7</v>
      </c>
      <c r="K34" s="10">
        <f>315+629.3</f>
        <v>944.3</v>
      </c>
      <c r="L34" s="10">
        <f>962.6</f>
        <v>962.6</v>
      </c>
      <c r="M34" s="10">
        <f>210+2916.7+255</f>
        <v>3381.7</v>
      </c>
      <c r="N34" s="10">
        <f t="shared" si="14"/>
        <v>68146.299999999988</v>
      </c>
    </row>
    <row r="35" spans="1:14" ht="27" customHeight="1" thickBot="1" x14ac:dyDescent="0.3">
      <c r="A35" s="8" t="s">
        <v>22</v>
      </c>
      <c r="B35" s="9">
        <f t="shared" ref="B35:M35" si="20">SUM(B23:B34)</f>
        <v>40365.781280000003</v>
      </c>
      <c r="C35" s="9">
        <f t="shared" si="20"/>
        <v>86785.715779999999</v>
      </c>
      <c r="D35" s="9">
        <f t="shared" si="20"/>
        <v>60060.491280000009</v>
      </c>
      <c r="E35" s="9">
        <f t="shared" si="20"/>
        <v>62407.515170000006</v>
      </c>
      <c r="F35" s="9">
        <f t="shared" si="20"/>
        <v>47899.255670000006</v>
      </c>
      <c r="G35" s="9">
        <f t="shared" si="20"/>
        <v>41834.542310000004</v>
      </c>
      <c r="H35" s="9">
        <f t="shared" si="20"/>
        <v>51935.12401</v>
      </c>
      <c r="I35" s="9">
        <f t="shared" si="20"/>
        <v>82929.364880000008</v>
      </c>
      <c r="J35" s="9">
        <f t="shared" si="20"/>
        <v>52393.224340000001</v>
      </c>
      <c r="K35" s="9">
        <f t="shared" si="20"/>
        <v>48969.271900000007</v>
      </c>
      <c r="L35" s="9">
        <f t="shared" si="20"/>
        <v>57160.095910000004</v>
      </c>
      <c r="M35" s="9">
        <f t="shared" si="20"/>
        <v>82862.487550000005</v>
      </c>
      <c r="N35" s="9">
        <f>SUM(B35:M35)</f>
        <v>715602.87008000002</v>
      </c>
    </row>
    <row r="36" spans="1:14" ht="23.25" customHeight="1" thickBot="1" x14ac:dyDescent="0.3">
      <c r="A36" s="3" t="s">
        <v>5</v>
      </c>
      <c r="B36" s="17">
        <f t="shared" ref="B36:N36" si="21">B15-B35</f>
        <v>23045.958719999995</v>
      </c>
      <c r="C36" s="17">
        <f t="shared" si="21"/>
        <v>-30472.825779999992</v>
      </c>
      <c r="D36" s="17">
        <f t="shared" si="21"/>
        <v>-3901.751280000004</v>
      </c>
      <c r="E36" s="17">
        <f t="shared" si="21"/>
        <v>3093.5348300000041</v>
      </c>
      <c r="F36" s="17">
        <f t="shared" si="21"/>
        <v>9981.1443299999883</v>
      </c>
      <c r="G36" s="17">
        <f t="shared" si="21"/>
        <v>48328.83769</v>
      </c>
      <c r="H36" s="17">
        <f t="shared" si="21"/>
        <v>2784.7859899999967</v>
      </c>
      <c r="I36" s="17">
        <f t="shared" si="21"/>
        <v>-550.01488000000245</v>
      </c>
      <c r="J36" s="17">
        <f t="shared" si="21"/>
        <v>120791.84565999998</v>
      </c>
      <c r="K36" s="17">
        <f t="shared" si="21"/>
        <v>11608.238099999995</v>
      </c>
      <c r="L36" s="17">
        <f t="shared" si="21"/>
        <v>3967.6340899999996</v>
      </c>
      <c r="M36" s="17">
        <f t="shared" si="21"/>
        <v>-13390.687550000002</v>
      </c>
      <c r="N36" s="10">
        <f t="shared" si="21"/>
        <v>175286.69991999993</v>
      </c>
    </row>
    <row r="37" spans="1:14" ht="23.25" customHeight="1" thickBot="1" x14ac:dyDescent="0.3">
      <c r="A37" s="3" t="s">
        <v>7</v>
      </c>
      <c r="B37" s="13">
        <f t="shared" ref="B37:N37" si="22">B6+B36</f>
        <v>-383717.26127999998</v>
      </c>
      <c r="C37" s="13">
        <f t="shared" si="22"/>
        <v>-414190.08705999999</v>
      </c>
      <c r="D37" s="13">
        <f t="shared" si="22"/>
        <v>-418091.83834000002</v>
      </c>
      <c r="E37" s="13">
        <f t="shared" si="22"/>
        <v>-414998.30351</v>
      </c>
      <c r="F37" s="13">
        <f t="shared" si="22"/>
        <v>-405017.15918000002</v>
      </c>
      <c r="G37" s="13">
        <f t="shared" si="22"/>
        <v>-356688.32149</v>
      </c>
      <c r="H37" s="13">
        <f t="shared" si="22"/>
        <v>-353903.5355</v>
      </c>
      <c r="I37" s="13">
        <f t="shared" si="22"/>
        <v>-354453.55038000003</v>
      </c>
      <c r="J37" s="13">
        <f t="shared" si="22"/>
        <v>-233661.70472000004</v>
      </c>
      <c r="K37" s="13">
        <f t="shared" si="22"/>
        <v>-222053.46662000005</v>
      </c>
      <c r="L37" s="13">
        <f t="shared" si="22"/>
        <v>-218085.83253000004</v>
      </c>
      <c r="M37" s="13">
        <f t="shared" si="22"/>
        <v>-231476.52008000005</v>
      </c>
      <c r="N37" s="13">
        <f t="shared" si="22"/>
        <v>-231476.52008000005</v>
      </c>
    </row>
    <row r="38" spans="1:14" ht="27" customHeight="1" thickBot="1" x14ac:dyDescent="0.3">
      <c r="A38" s="19" t="s">
        <v>11</v>
      </c>
      <c r="B38" s="20">
        <f>B7+B15-B8</f>
        <v>-904105.05999999994</v>
      </c>
      <c r="C38" s="20">
        <f>C7+C15-C8</f>
        <v>-910882.12999999989</v>
      </c>
      <c r="D38" s="20">
        <f>D7+D15-D8</f>
        <v>-917813.34999999986</v>
      </c>
      <c r="E38" s="20">
        <f t="shared" ref="E38:M38" si="23">E7+E15-E8</f>
        <v>-915411.58999999985</v>
      </c>
      <c r="F38" s="20">
        <f t="shared" si="23"/>
        <v>-920630.47999999986</v>
      </c>
      <c r="G38" s="20">
        <f t="shared" si="23"/>
        <v>-893566.2699999999</v>
      </c>
      <c r="H38" s="20">
        <f t="shared" si="23"/>
        <v>-902170.12999999989</v>
      </c>
      <c r="I38" s="20">
        <f t="shared" si="23"/>
        <v>-879074.83999999985</v>
      </c>
      <c r="J38" s="20">
        <f t="shared" si="23"/>
        <v>-784397.64999999991</v>
      </c>
      <c r="K38" s="20">
        <f t="shared" si="23"/>
        <v>-789077.33999999985</v>
      </c>
      <c r="L38" s="20">
        <f t="shared" si="23"/>
        <v>-793261.47999999986</v>
      </c>
      <c r="M38" s="20">
        <f t="shared" si="23"/>
        <v>-797241.5299999998</v>
      </c>
      <c r="N38" s="22">
        <f>N7+N15-N8</f>
        <v>-797241.53</v>
      </c>
    </row>
    <row r="39" spans="1:14" ht="26.4" customHeight="1" thickBot="1" x14ac:dyDescent="0.35">
      <c r="A39" s="27" t="s">
        <v>41</v>
      </c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9"/>
      <c r="N39" s="22">
        <v>84068.66</v>
      </c>
    </row>
    <row r="40" spans="1:14" ht="28.2" customHeight="1" thickBot="1" x14ac:dyDescent="0.35">
      <c r="A40" s="30" t="s">
        <v>11</v>
      </c>
      <c r="B40" s="31"/>
      <c r="C40" s="31"/>
      <c r="D40" s="31"/>
      <c r="E40" s="31"/>
      <c r="F40" s="31"/>
      <c r="G40" s="31"/>
      <c r="H40" s="31"/>
      <c r="I40" s="31"/>
      <c r="J40" s="31"/>
      <c r="K40" s="31"/>
      <c r="L40" s="31"/>
      <c r="M40" s="32"/>
      <c r="N40" s="21">
        <f>N38+N39</f>
        <v>-713172.87</v>
      </c>
    </row>
  </sheetData>
  <mergeCells count="4">
    <mergeCell ref="A1:N1"/>
    <mergeCell ref="A2:P2"/>
    <mergeCell ref="A39:M39"/>
    <mergeCell ref="A40:M40"/>
  </mergeCells>
  <phoneticPr fontId="4" type="noConversion"/>
  <pageMargins left="0.19685039370078741" right="0.19685039370078741" top="0.19685039370078741" bottom="0.19685039370078741" header="0.51181102362204722" footer="0.51181102362204722"/>
  <pageSetup paperSize="9" scale="54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2021</vt:lpstr>
    </vt:vector>
  </TitlesOfParts>
  <Company>Организация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2022-03-22T07:06:29Z</cp:lastPrinted>
  <dcterms:created xsi:type="dcterms:W3CDTF">2011-06-06T03:25:48Z</dcterms:created>
  <dcterms:modified xsi:type="dcterms:W3CDTF">2022-03-22T07:11:48Z</dcterms:modified>
</cp:coreProperties>
</file>