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M12" i="1" l="1"/>
  <c r="L11" i="1"/>
  <c r="L13" i="1"/>
  <c r="L12" i="1"/>
  <c r="M11" i="1"/>
  <c r="M13" i="1"/>
  <c r="K19" i="1"/>
  <c r="K21" i="1"/>
  <c r="K20" i="1"/>
  <c r="K22" i="1"/>
  <c r="K10" i="1"/>
  <c r="K12" i="1"/>
  <c r="K11" i="1"/>
  <c r="K13" i="1"/>
  <c r="M40" i="1" l="1"/>
  <c r="L40" i="1" l="1"/>
  <c r="M37" i="1" l="1"/>
  <c r="L37" i="1" l="1"/>
  <c r="K37" i="1" l="1"/>
  <c r="M29" i="1" l="1"/>
  <c r="M23" i="1"/>
  <c r="M17" i="1"/>
  <c r="M28" i="1"/>
  <c r="M8" i="1"/>
  <c r="L29" i="1" l="1"/>
  <c r="L17" i="1"/>
  <c r="L28" i="1"/>
  <c r="L8" i="1"/>
  <c r="K40" i="1" l="1"/>
  <c r="K29" i="1" l="1"/>
  <c r="K23" i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C40" i="1" l="1"/>
  <c r="J10" i="1" l="1"/>
  <c r="J12" i="1"/>
  <c r="J11" i="1"/>
  <c r="J13" i="1"/>
  <c r="I10" i="1"/>
  <c r="I12" i="1"/>
  <c r="I11" i="1"/>
  <c r="I13" i="1"/>
  <c r="H12" i="1"/>
  <c r="H11" i="1"/>
  <c r="H13" i="1"/>
  <c r="J35" i="1" l="1"/>
  <c r="I35" i="1"/>
  <c r="C35" i="1"/>
  <c r="D35" i="1"/>
  <c r="E35" i="1"/>
  <c r="F35" i="1"/>
  <c r="G35" i="1"/>
  <c r="H35" i="1"/>
  <c r="B35" i="1"/>
  <c r="J40" i="1" l="1"/>
  <c r="I40" i="1" l="1"/>
  <c r="J31" i="1" l="1"/>
  <c r="I31" i="1"/>
  <c r="H31" i="1"/>
  <c r="J30" i="1" l="1"/>
  <c r="I30" i="1"/>
  <c r="J29" i="1" l="1"/>
  <c r="J23" i="1"/>
  <c r="J17" i="1"/>
  <c r="J28" i="1"/>
  <c r="J8" i="1"/>
  <c r="H40" i="1" l="1"/>
  <c r="I29" i="1" l="1"/>
  <c r="I17" i="1"/>
  <c r="I28" i="1"/>
  <c r="I8" i="1"/>
  <c r="H29" i="1" l="1"/>
  <c r="H17" i="1"/>
  <c r="H28" i="1" l="1"/>
  <c r="H8" i="1"/>
  <c r="H30" i="1" l="1"/>
  <c r="H27" i="1"/>
  <c r="I27" i="1"/>
  <c r="J27" i="1"/>
  <c r="H26" i="1"/>
  <c r="I26" i="1"/>
  <c r="J26" i="1"/>
  <c r="F40" i="1" l="1"/>
  <c r="G40" i="1" l="1"/>
  <c r="D40" i="1" l="1"/>
  <c r="E40" i="1" l="1"/>
  <c r="G29" i="1" l="1"/>
  <c r="G17" i="1"/>
  <c r="G28" i="1"/>
  <c r="F29" i="1" l="1"/>
  <c r="F17" i="1"/>
  <c r="F28" i="1"/>
  <c r="E29" i="1" l="1"/>
  <c r="E17" i="1"/>
  <c r="E28" i="1"/>
  <c r="E30" i="1" l="1"/>
  <c r="F30" i="1"/>
  <c r="G30" i="1"/>
  <c r="D31" i="1"/>
  <c r="E26" i="1"/>
  <c r="F26" i="1"/>
  <c r="G26" i="1"/>
  <c r="E27" i="1"/>
  <c r="F27" i="1"/>
  <c r="G27" i="1"/>
  <c r="C31" i="1" l="1"/>
  <c r="B31" i="1"/>
  <c r="D29" i="1" l="1"/>
  <c r="D17" i="1"/>
  <c r="D28" i="1"/>
  <c r="N9" i="1"/>
  <c r="N10" i="1"/>
  <c r="N11" i="1"/>
  <c r="N12" i="1"/>
  <c r="N13" i="1"/>
  <c r="N14" i="1"/>
  <c r="N15" i="1"/>
  <c r="D8" i="1"/>
  <c r="C29" i="1" l="1"/>
  <c r="C17" i="1"/>
  <c r="C28" i="1"/>
  <c r="C8" i="1"/>
  <c r="B29" i="1" l="1"/>
  <c r="B17" i="1"/>
  <c r="B28" i="1"/>
  <c r="B8" i="1"/>
  <c r="B40" i="1" l="1"/>
  <c r="N32" i="1" l="1"/>
  <c r="N33" i="1"/>
  <c r="N34" i="1"/>
  <c r="N36" i="1"/>
  <c r="N37" i="1"/>
  <c r="N38" i="1"/>
  <c r="N39" i="1"/>
  <c r="N18" i="1" l="1"/>
  <c r="N40" i="1" l="1"/>
  <c r="N31" i="1" l="1"/>
  <c r="N29" i="1" l="1"/>
  <c r="N28" i="1"/>
  <c r="B7" i="1"/>
  <c r="C30" i="1" l="1"/>
  <c r="D30" i="1"/>
  <c r="C27" i="1"/>
  <c r="D27" i="1"/>
  <c r="C26" i="1"/>
  <c r="D26" i="1"/>
  <c r="B30" i="1"/>
  <c r="B27" i="1"/>
  <c r="B26" i="1"/>
  <c r="N26" i="1" s="1"/>
  <c r="N35" i="1" l="1"/>
  <c r="N27" i="1"/>
  <c r="N30" i="1"/>
  <c r="J7" i="1"/>
  <c r="I7" i="1"/>
  <c r="N6" i="1"/>
  <c r="N20" i="1"/>
  <c r="N21" i="1"/>
  <c r="N22" i="1"/>
  <c r="N23" i="1"/>
  <c r="N24" i="1"/>
  <c r="N19" i="1"/>
  <c r="H16" i="1"/>
  <c r="I16" i="1"/>
  <c r="J16" i="1"/>
  <c r="K16" i="1"/>
  <c r="L16" i="1"/>
  <c r="M16" i="1"/>
  <c r="H7" i="1"/>
  <c r="K7" i="1"/>
  <c r="L7" i="1"/>
  <c r="M7" i="1"/>
  <c r="I41" i="1" l="1"/>
  <c r="I42" i="1" s="1"/>
  <c r="M41" i="1"/>
  <c r="M42" i="1" s="1"/>
  <c r="L41" i="1"/>
  <c r="L42" i="1" s="1"/>
  <c r="K41" i="1"/>
  <c r="J41" i="1"/>
  <c r="K42" i="1" l="1"/>
  <c r="J42" i="1"/>
  <c r="H41" i="1"/>
  <c r="H42" i="1" s="1"/>
  <c r="G16" i="1" l="1"/>
  <c r="F16" i="1"/>
  <c r="E16" i="1"/>
  <c r="D16" i="1" l="1"/>
  <c r="D41" i="1" s="1"/>
  <c r="D42" i="1" s="1"/>
  <c r="C16" i="1"/>
  <c r="N17" i="1" l="1"/>
  <c r="B16" i="1"/>
  <c r="N16" i="1" s="1"/>
  <c r="N5" i="1"/>
  <c r="N8" i="1" l="1"/>
  <c r="F7" i="1" l="1"/>
  <c r="E41" i="1"/>
  <c r="F41" i="1"/>
  <c r="F42" i="1" s="1"/>
  <c r="G41" i="1"/>
  <c r="G42" i="1" s="1"/>
  <c r="E7" i="1"/>
  <c r="G7" i="1"/>
  <c r="D7" i="1"/>
  <c r="C41" i="1"/>
  <c r="C42" i="1" s="1"/>
  <c r="C7" i="1"/>
  <c r="N7" i="1" l="1"/>
  <c r="N44" i="1" s="1"/>
  <c r="E42" i="1"/>
  <c r="B41" i="1"/>
  <c r="N41" i="1" s="1"/>
  <c r="B44" i="1"/>
  <c r="C6" i="1" s="1"/>
  <c r="C44" i="1" s="1"/>
  <c r="D6" i="1" l="1"/>
  <c r="D44" i="1" s="1"/>
  <c r="B42" i="1"/>
  <c r="B43" i="1" s="1"/>
  <c r="C5" i="1" s="1"/>
  <c r="C43" i="1" s="1"/>
  <c r="N42" i="1"/>
  <c r="N43" i="1" s="1"/>
  <c r="E6" i="1" l="1"/>
  <c r="E44" i="1" l="1"/>
  <c r="F6" i="1" s="1"/>
  <c r="F44" i="1" s="1"/>
  <c r="G6" i="1" s="1"/>
  <c r="G44" i="1" s="1"/>
  <c r="D5" i="1"/>
  <c r="D43" i="1" s="1"/>
  <c r="H6" i="1" l="1"/>
  <c r="H44" i="1" s="1"/>
  <c r="E5" i="1"/>
  <c r="E43" i="1" s="1"/>
  <c r="I6" i="1" l="1"/>
  <c r="I44" i="1" s="1"/>
  <c r="F5" i="1"/>
  <c r="F43" i="1" s="1"/>
  <c r="G5" i="1" l="1"/>
  <c r="G43" i="1" s="1"/>
  <c r="J6" i="1"/>
  <c r="J44" i="1" s="1"/>
  <c r="K6" i="1" l="1"/>
  <c r="K44" i="1" s="1"/>
  <c r="H5" i="1"/>
  <c r="H43" i="1" s="1"/>
  <c r="L6" i="1" l="1"/>
  <c r="L44" i="1" s="1"/>
  <c r="I5" i="1"/>
  <c r="I43" i="1" s="1"/>
  <c r="M6" i="1" l="1"/>
  <c r="M44" i="1" s="1"/>
  <c r="J5" i="1"/>
  <c r="J43" i="1" s="1"/>
  <c r="K5" i="1" l="1"/>
  <c r="K43" i="1" s="1"/>
  <c r="L5" i="1" l="1"/>
  <c r="L43" i="1" s="1"/>
  <c r="M5" i="1" l="1"/>
  <c r="M43" i="1" s="1"/>
</calcChain>
</file>

<file path=xl/sharedStrings.xml><?xml version="1.0" encoding="utf-8"?>
<sst xmlns="http://schemas.openxmlformats.org/spreadsheetml/2006/main" count="55" uniqueCount="46">
  <si>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</si>
  <si>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</si>
  <si>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</si>
  <si>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</si>
  <si>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</si>
  <si>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</si>
  <si>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</si>
  <si>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</si>
  <si>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</si>
  <si>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</si>
  <si>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</si>
  <si>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</si>
  <si>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</si>
  <si>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</si>
  <si>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</si>
  <si>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</si>
  <si>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</si>
  <si>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</si>
  <si>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</si>
  <si>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</si>
  <si>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</si>
  <si>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</si>
  <si>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</si>
  <si>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</si>
  <si>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</si>
  <si>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</si>
  <si>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Период. техническое освидетельствование лифтов</t>
  </si>
  <si>
    <t>Вознаграждение, координация с советом МКД</t>
  </si>
  <si>
    <t>Отведение сточных вод ОИ</t>
  </si>
  <si>
    <t>Содержание жилья и текущий ремонт,  ОПУ</t>
  </si>
  <si>
    <t>Содержание жилья и текущий ремонт /нежилые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</si>
  <si>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</si>
  <si>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</si>
  <si>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</si>
  <si>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</si>
  <si>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</si>
  <si>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</si>
  <si>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</t>
  </si>
  <si>
    <t>Август 2021г</t>
  </si>
  <si>
    <t>Сентябрь 2021г</t>
  </si>
  <si>
    <t>Октябрь 2021г</t>
  </si>
  <si>
    <t>Ноябрь 2021г</t>
  </si>
  <si>
    <t>Декабрь 2021г</t>
  </si>
  <si>
    <t>Всего:                       за  2021г.</t>
  </si>
  <si>
    <t xml:space="preserve">                 ОТЧЕТ по дому Мартьянова, 45 за период 01.01.2021г. по 31.12.2021г.</t>
  </si>
  <si>
    <t xml:space="preserve">Содержание жилья и текущий ремонт,  ОПУ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</si>
</sst>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0" fillId="0" borderId="0" xfId="0" applyFill="1"/>
    <xf numFmtId="0" fontId="7" fillId="0" borderId="2" xfId="0" applyFont="1" applyBorder="1" applyAlignment="1">
      <alignment horizontal="left"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75" workbookViewId="0">
      <selection activeCell="B2" sqref="B1:H1048576"/>
    </sheetView>
  </sheetViews>
  <sheetFormatPr defaultRowHeight="13.2" x14ac:dyDescent="0.25"/>
  <cols>
    <col min="1" max="1" width="56.44140625" customWidth="1"/>
    <col min="2" max="2" width="15.88671875" customWidth="1"/>
    <col min="3" max="3" width="15.6640625" customWidth="1"/>
    <col min="4" max="4" width="15.33203125" customWidth="1"/>
    <col min="5" max="5" width="15.109375" customWidth="1"/>
    <col min="6" max="6" width="15.44140625" customWidth="1"/>
    <col min="7" max="7" width="15.109375" customWidth="1"/>
    <col min="8" max="9" width="15.33203125" customWidth="1"/>
    <col min="10" max="10" width="15.5546875" customWidth="1"/>
    <col min="11" max="11" width="15.77734375" customWidth="1"/>
    <col min="12" max="12" width="15.5546875" customWidth="1"/>
    <col min="13" max="13" width="15.77734375" customWidth="1"/>
    <col min="14" max="14" width="17" customWidth="1"/>
  </cols>
  <sheetData>
    <row r="1" spans="1:18" ht="20.25" customHeight="1" x14ac:dyDescent="0.35">
      <c r="A1" s="24" t="s">
        <v>44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18" t="s">
        <v>0</v>
      </c>
      <c r="B4" s="7" t="s">
        <v>31</v>
      </c>
      <c r="C4" s="7" t="s">
        <v>32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7" t="s">
        <v>40</v>
      </c>
      <c r="L4" s="7" t="s">
        <v>41</v>
      </c>
      <c r="M4" s="7" t="s">
        <v>42</v>
      </c>
      <c r="N4" s="7" t="s">
        <v>43</v>
      </c>
    </row>
    <row r="5" spans="1:18" ht="23.25" customHeight="1" thickBot="1" x14ac:dyDescent="0.3">
      <c r="A5" s="19" t="s">
        <v>15</v>
      </c>
      <c r="B5" s="8">
        <v>-1475707.69</v>
      </c>
      <c r="C5" s="8">
        <f t="shared" ref="C5:D6" si="0">B43</f>
        <v>-1367784.3965399999</v>
      </c>
      <c r="D5" s="8">
        <f t="shared" si="0"/>
        <v>-1381547.2195599999</v>
      </c>
      <c r="E5" s="8">
        <f>D43</f>
        <v>-1327286.8644999999</v>
      </c>
      <c r="F5" s="8">
        <f t="shared" ref="F5:F6" si="1">E43</f>
        <v>-1295270.7178699998</v>
      </c>
      <c r="G5" s="8">
        <f>F43</f>
        <v>-1523110.7037999998</v>
      </c>
      <c r="H5" s="8">
        <f t="shared" ref="H5:J6" si="2">G43</f>
        <v>-1504111.3653299997</v>
      </c>
      <c r="I5" s="8">
        <f t="shared" si="2"/>
        <v>-1503403.7489399998</v>
      </c>
      <c r="J5" s="8">
        <f t="shared" si="2"/>
        <v>-1921786.6075399998</v>
      </c>
      <c r="K5" s="8">
        <f t="shared" ref="K5:K6" si="3">J43</f>
        <v>-2103474.52574</v>
      </c>
      <c r="L5" s="8">
        <f t="shared" ref="L5:L6" si="4">K43</f>
        <v>-2034628.7672999999</v>
      </c>
      <c r="M5" s="8">
        <f t="shared" ref="M5:M6" si="5">L43</f>
        <v>-1973500.47854</v>
      </c>
      <c r="N5" s="8">
        <f>B5</f>
        <v>-1475707.69</v>
      </c>
    </row>
    <row r="6" spans="1:18" ht="21" customHeight="1" thickBot="1" x14ac:dyDescent="0.3">
      <c r="A6" s="19" t="s">
        <v>13</v>
      </c>
      <c r="B6" s="8">
        <v>-735713.95</v>
      </c>
      <c r="C6" s="8">
        <f t="shared" si="0"/>
        <v>-662322.93999999994</v>
      </c>
      <c r="D6" s="8">
        <f t="shared" si="0"/>
        <v>-686671.94</v>
      </c>
      <c r="E6" s="8">
        <f>D44</f>
        <v>-700731.28999999992</v>
      </c>
      <c r="F6" s="8">
        <f t="shared" si="1"/>
        <v>-697039.16999999993</v>
      </c>
      <c r="G6" s="8">
        <f t="shared" ref="G6" si="6">F44</f>
        <v>-702892.25999999989</v>
      </c>
      <c r="H6" s="8">
        <f t="shared" si="2"/>
        <v>-707524.81999999983</v>
      </c>
      <c r="I6" s="8">
        <f t="shared" si="2"/>
        <v>-736879.10999999987</v>
      </c>
      <c r="J6" s="8">
        <f t="shared" si="2"/>
        <v>-812021.64999999991</v>
      </c>
      <c r="K6" s="8">
        <f t="shared" si="3"/>
        <v>-779464.98</v>
      </c>
      <c r="L6" s="8">
        <f t="shared" si="4"/>
        <v>-791282.42</v>
      </c>
      <c r="M6" s="8">
        <f t="shared" si="5"/>
        <v>-771309.50000000012</v>
      </c>
      <c r="N6" s="8">
        <f>B6</f>
        <v>-735713.95</v>
      </c>
    </row>
    <row r="7" spans="1:18" ht="20.25" customHeight="1" thickBot="1" x14ac:dyDescent="0.3">
      <c r="A7" s="20" t="s">
        <v>12</v>
      </c>
      <c r="B7" s="9">
        <f>SUM(B8:B15)</f>
        <v>254525.15999999997</v>
      </c>
      <c r="C7" s="9">
        <f>SUM(C8:C15)</f>
        <v>261884.50999999998</v>
      </c>
      <c r="D7" s="9">
        <f>SUM(D8:D15)</f>
        <v>258997.27000000002</v>
      </c>
      <c r="E7" s="9">
        <f t="shared" ref="E7:M7" si="7">SUM(E8:E15)</f>
        <v>243596.35999999996</v>
      </c>
      <c r="F7" s="9">
        <f t="shared" si="7"/>
        <v>237325.91999999998</v>
      </c>
      <c r="G7" s="9">
        <f t="shared" si="7"/>
        <v>234354.33999999997</v>
      </c>
      <c r="H7" s="9">
        <f t="shared" si="7"/>
        <v>258151.87</v>
      </c>
      <c r="I7" s="9">
        <f t="shared" si="7"/>
        <v>308493.14</v>
      </c>
      <c r="J7" s="9">
        <f t="shared" si="7"/>
        <v>282265.49</v>
      </c>
      <c r="K7" s="9">
        <f t="shared" si="7"/>
        <v>296716.80000000005</v>
      </c>
      <c r="L7" s="9">
        <f t="shared" si="7"/>
        <v>270504.91000000003</v>
      </c>
      <c r="M7" s="9">
        <f t="shared" si="7"/>
        <v>275242.67000000004</v>
      </c>
      <c r="N7" s="9">
        <f>SUM(B7:M7)</f>
        <v>3182058.4400000004</v>
      </c>
    </row>
    <row r="8" spans="1:18" ht="24.75" customHeight="1" thickBot="1" x14ac:dyDescent="0.3">
      <c r="A8" s="4" t="s">
        <v>29</v>
      </c>
      <c r="B8" s="10">
        <f t="shared" ref="B8:D8" si="8">225545.81+1188.96</f>
        <v>226734.77</v>
      </c>
      <c r="C8" s="10">
        <f t="shared" si="8"/>
        <v>226734.77</v>
      </c>
      <c r="D8" s="10">
        <f t="shared" si="8"/>
        <v>226734.77</v>
      </c>
      <c r="E8" s="10">
        <v>226734.77</v>
      </c>
      <c r="F8" s="10">
        <v>226734.77</v>
      </c>
      <c r="G8" s="10">
        <v>226734.77</v>
      </c>
      <c r="H8" s="10">
        <f>225545.81+1188.96</f>
        <v>226734.77</v>
      </c>
      <c r="I8" s="10">
        <f>247898.7+1188.96</f>
        <v>249087.66</v>
      </c>
      <c r="J8" s="10">
        <f>247898.7+1188.96</f>
        <v>249087.66</v>
      </c>
      <c r="K8" s="10">
        <f>247898.7+1188.96</f>
        <v>249087.66</v>
      </c>
      <c r="L8" s="10">
        <f>247898.7+1188.96</f>
        <v>249087.66</v>
      </c>
      <c r="M8" s="10">
        <f>247898.7+1188.96</f>
        <v>249087.66</v>
      </c>
      <c r="N8" s="10">
        <f>SUM(B8:M8)</f>
        <v>2832581.69</v>
      </c>
    </row>
    <row r="9" spans="1:18" ht="21.6" customHeight="1" thickBot="1" x14ac:dyDescent="0.3">
      <c r="A9" s="4" t="s">
        <v>30</v>
      </c>
      <c r="B9" s="10">
        <v>703.79</v>
      </c>
      <c r="C9" s="10">
        <v>703.79</v>
      </c>
      <c r="D9" s="10">
        <v>703.79</v>
      </c>
      <c r="E9" s="10">
        <v>703.79</v>
      </c>
      <c r="F9" s="10">
        <v>703.79</v>
      </c>
      <c r="G9" s="10">
        <v>703.79</v>
      </c>
      <c r="H9" s="10">
        <v>703.79</v>
      </c>
      <c r="I9" s="10">
        <v>773.54</v>
      </c>
      <c r="J9" s="10">
        <v>773.54</v>
      </c>
      <c r="K9" s="10">
        <v>773.54</v>
      </c>
      <c r="L9" s="10">
        <v>773.54</v>
      </c>
      <c r="M9" s="10">
        <v>773.54</v>
      </c>
      <c r="N9" s="10">
        <f t="shared" ref="N9:N15" si="9">SUM(B9:M9)</f>
        <v>8794.23</v>
      </c>
    </row>
    <row r="10" spans="1:18" ht="24.75" customHeight="1" thickBot="1" x14ac:dyDescent="0.3">
      <c r="A10" s="4" t="s">
        <v>16</v>
      </c>
      <c r="B10" s="10">
        <v>11778.46</v>
      </c>
      <c r="C10" s="10">
        <v>11203.44</v>
      </c>
      <c r="D10" s="10">
        <v>4530.7700000000004</v>
      </c>
      <c r="E10" s="10">
        <v>4530.7700000000004</v>
      </c>
      <c r="F10" s="10">
        <v>0</v>
      </c>
      <c r="G10" s="10">
        <v>0</v>
      </c>
      <c r="H10" s="10">
        <v>0</v>
      </c>
      <c r="I10" s="10">
        <f>37910.83+117.98</f>
        <v>38028.810000000005</v>
      </c>
      <c r="J10" s="10">
        <f>10725.64+33.39</f>
        <v>10759.029999999999</v>
      </c>
      <c r="K10" s="10">
        <f>2276.59+7.05</f>
        <v>2283.6400000000003</v>
      </c>
      <c r="L10" s="10">
        <v>0</v>
      </c>
      <c r="M10" s="10">
        <v>0</v>
      </c>
      <c r="N10" s="10">
        <f t="shared" si="9"/>
        <v>83114.92</v>
      </c>
    </row>
    <row r="11" spans="1:18" ht="21.75" customHeight="1" thickBot="1" x14ac:dyDescent="0.3">
      <c r="A11" s="4" t="s">
        <v>17</v>
      </c>
      <c r="B11" s="10">
        <v>974.08</v>
      </c>
      <c r="C11" s="10">
        <v>974.08</v>
      </c>
      <c r="D11" s="10">
        <v>974.08</v>
      </c>
      <c r="E11" s="10">
        <v>974.08</v>
      </c>
      <c r="F11" s="10">
        <v>974.08</v>
      </c>
      <c r="G11" s="10">
        <v>974.08</v>
      </c>
      <c r="H11" s="10">
        <f>971.11+2.97</f>
        <v>974.08</v>
      </c>
      <c r="I11" s="10">
        <f>1030.8+3.34</f>
        <v>1034.1399999999999</v>
      </c>
      <c r="J11" s="10">
        <f>1030.8+3.34</f>
        <v>1034.1399999999999</v>
      </c>
      <c r="K11" s="10">
        <f>1030.8+3.34</f>
        <v>1034.1399999999999</v>
      </c>
      <c r="L11" s="10">
        <f>1030.8+3.34</f>
        <v>1034.1399999999999</v>
      </c>
      <c r="M11" s="10">
        <f>1030.8+3.34</f>
        <v>1034.1399999999999</v>
      </c>
      <c r="N11" s="10">
        <f t="shared" si="9"/>
        <v>11989.259999999998</v>
      </c>
    </row>
    <row r="12" spans="1:18" ht="22.5" customHeight="1" thickBot="1" x14ac:dyDescent="0.3">
      <c r="A12" s="4" t="s">
        <v>18</v>
      </c>
      <c r="B12" s="10">
        <v>2141.91</v>
      </c>
      <c r="C12" s="10">
        <v>10076.280000000001</v>
      </c>
      <c r="D12" s="10">
        <v>29785.21</v>
      </c>
      <c r="E12" s="10">
        <v>6440.05</v>
      </c>
      <c r="F12" s="10">
        <v>4700.38</v>
      </c>
      <c r="G12" s="10">
        <v>1728.8</v>
      </c>
      <c r="H12" s="10">
        <f>25421.67+79.39</f>
        <v>25501.059999999998</v>
      </c>
      <c r="I12" s="10">
        <f>7287.87+22.63</f>
        <v>7310.5</v>
      </c>
      <c r="J12" s="10">
        <f>8326.66+25.97</f>
        <v>8352.6299999999992</v>
      </c>
      <c r="K12" s="10">
        <f>31182.13+97.2</f>
        <v>31279.33</v>
      </c>
      <c r="L12" s="10">
        <f>7328.08+23</f>
        <v>7351.08</v>
      </c>
      <c r="M12" s="10">
        <f>12051.37+37.47</f>
        <v>12088.84</v>
      </c>
      <c r="N12" s="10">
        <f t="shared" si="9"/>
        <v>146756.07</v>
      </c>
    </row>
    <row r="13" spans="1:18" ht="22.5" customHeight="1" thickBot="1" x14ac:dyDescent="0.3">
      <c r="A13" s="4" t="s">
        <v>28</v>
      </c>
      <c r="B13" s="10">
        <v>1392.9</v>
      </c>
      <c r="C13" s="10">
        <v>1392.9</v>
      </c>
      <c r="D13" s="10">
        <v>1392.9</v>
      </c>
      <c r="E13" s="10">
        <v>1392.9</v>
      </c>
      <c r="F13" s="10">
        <v>1392.9</v>
      </c>
      <c r="G13" s="10">
        <v>1392.9</v>
      </c>
      <c r="H13" s="10">
        <f>1413.72+4.45</f>
        <v>1418.17</v>
      </c>
      <c r="I13" s="10">
        <f>1413.72+4.45</f>
        <v>1418.17</v>
      </c>
      <c r="J13" s="10">
        <f>1413.72+4.45</f>
        <v>1418.17</v>
      </c>
      <c r="K13" s="10">
        <f>1413.72+4.45</f>
        <v>1418.17</v>
      </c>
      <c r="L13" s="10">
        <f>1413.72+4.45</f>
        <v>1418.17</v>
      </c>
      <c r="M13" s="10">
        <f>1413.72+4.45</f>
        <v>1418.17</v>
      </c>
      <c r="N13" s="10">
        <f t="shared" si="9"/>
        <v>16866.419999999998</v>
      </c>
    </row>
    <row r="14" spans="1:18" ht="22.5" customHeight="1" thickBot="1" x14ac:dyDescent="0.3">
      <c r="A14" s="4" t="s">
        <v>27</v>
      </c>
      <c r="B14" s="10">
        <v>7979.25</v>
      </c>
      <c r="C14" s="10">
        <v>7979.25</v>
      </c>
      <c r="D14" s="10">
        <v>-7944.25</v>
      </c>
      <c r="E14" s="10">
        <v>0</v>
      </c>
      <c r="F14" s="10">
        <v>0</v>
      </c>
      <c r="G14" s="10">
        <v>0</v>
      </c>
      <c r="H14" s="10">
        <v>0</v>
      </c>
      <c r="I14" s="10">
        <v>8020.32</v>
      </c>
      <c r="J14" s="10">
        <v>8020.32</v>
      </c>
      <c r="K14" s="10">
        <v>8020.32</v>
      </c>
      <c r="L14" s="10">
        <v>8020.32</v>
      </c>
      <c r="M14" s="10">
        <v>8020.32</v>
      </c>
      <c r="N14" s="10">
        <f t="shared" si="9"/>
        <v>48115.85</v>
      </c>
    </row>
    <row r="15" spans="1:18" ht="24" customHeight="1" thickBot="1" x14ac:dyDescent="0.3">
      <c r="A15" s="4" t="s">
        <v>14</v>
      </c>
      <c r="B15" s="10">
        <v>2820</v>
      </c>
      <c r="C15" s="10">
        <v>2820</v>
      </c>
      <c r="D15" s="10">
        <v>2820</v>
      </c>
      <c r="E15" s="10">
        <v>2820</v>
      </c>
      <c r="F15" s="10">
        <v>2820</v>
      </c>
      <c r="G15" s="10">
        <v>2820</v>
      </c>
      <c r="H15" s="10">
        <v>2820</v>
      </c>
      <c r="I15" s="10">
        <v>2820</v>
      </c>
      <c r="J15" s="10">
        <v>2820</v>
      </c>
      <c r="K15" s="10">
        <v>2820</v>
      </c>
      <c r="L15" s="10">
        <v>2820</v>
      </c>
      <c r="M15" s="10">
        <v>2820</v>
      </c>
      <c r="N15" s="10">
        <f t="shared" si="9"/>
        <v>33840</v>
      </c>
    </row>
    <row r="16" spans="1:18" ht="20.25" customHeight="1" thickBot="1" x14ac:dyDescent="0.3">
      <c r="A16" s="21" t="s">
        <v>8</v>
      </c>
      <c r="B16" s="11">
        <f>SUM(B17:B24)</f>
        <v>327916.17</v>
      </c>
      <c r="C16" s="11">
        <f t="shared" ref="C16:M16" si="10">SUM(C17:C24)</f>
        <v>237535.51</v>
      </c>
      <c r="D16" s="11">
        <f t="shared" si="10"/>
        <v>244937.92000000004</v>
      </c>
      <c r="E16" s="11">
        <f t="shared" si="10"/>
        <v>247288.48</v>
      </c>
      <c r="F16" s="11">
        <f t="shared" si="10"/>
        <v>231472.83000000002</v>
      </c>
      <c r="G16" s="11">
        <f t="shared" si="10"/>
        <v>229721.78</v>
      </c>
      <c r="H16" s="11">
        <f t="shared" si="10"/>
        <v>228797.57999999996</v>
      </c>
      <c r="I16" s="11">
        <f t="shared" si="10"/>
        <v>233350.6</v>
      </c>
      <c r="J16" s="11">
        <f t="shared" si="10"/>
        <v>314822.15999999997</v>
      </c>
      <c r="K16" s="11">
        <f t="shared" si="10"/>
        <v>284899.36</v>
      </c>
      <c r="L16" s="11">
        <f t="shared" si="10"/>
        <v>290477.82999999996</v>
      </c>
      <c r="M16" s="11">
        <f t="shared" si="10"/>
        <v>262384.27</v>
      </c>
      <c r="N16" s="11">
        <f>SUM(B16:M16)</f>
        <v>3133604.49</v>
      </c>
    </row>
    <row r="17" spans="1:15" ht="24" customHeight="1" thickBot="1" x14ac:dyDescent="0.3">
      <c r="A17" s="4" t="s">
        <v>45</v>
      </c>
      <c r="B17" s="10">
        <f>262446.41-257.49+1120.21</f>
        <v>263309.13</v>
      </c>
      <c r="C17" s="10">
        <f>209726.76-171.66+1087.38</f>
        <v>210642.48</v>
      </c>
      <c r="D17" s="10">
        <f>219395.42+1098.03+48.84</f>
        <v>220542.29</v>
      </c>
      <c r="E17" s="10">
        <f>210189.81+1146.42+112.4</f>
        <v>211448.63</v>
      </c>
      <c r="F17" s="10">
        <f>214371.99+1099.75+234.63</f>
        <v>215706.37</v>
      </c>
      <c r="G17" s="10">
        <f>218228.62+1140.74+180.32</f>
        <v>219549.68</v>
      </c>
      <c r="H17" s="10">
        <f>221284.33+1159.09+148.5</f>
        <v>222591.91999999998</v>
      </c>
      <c r="I17" s="10">
        <f>206209.07-600.81+1049.37</f>
        <v>206657.63</v>
      </c>
      <c r="J17" s="10">
        <f>258326.29+1400.49</f>
        <v>259726.78</v>
      </c>
      <c r="K17" s="10">
        <f>237937.57+1198.93</f>
        <v>239136.5</v>
      </c>
      <c r="L17" s="10">
        <f>247640.43+1156.86</f>
        <v>248797.28999999998</v>
      </c>
      <c r="M17" s="10">
        <f>240789.82+1116.27</f>
        <v>241906.09</v>
      </c>
      <c r="N17" s="10">
        <f>SUM(B17:M17)</f>
        <v>2760014.79</v>
      </c>
    </row>
    <row r="18" spans="1:15" ht="24" customHeight="1" thickBot="1" x14ac:dyDescent="0.3">
      <c r="A18" s="4" t="s">
        <v>30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7881.19</v>
      </c>
      <c r="L18" s="10">
        <v>0</v>
      </c>
      <c r="M18" s="10">
        <v>0</v>
      </c>
      <c r="N18" s="10">
        <f>SUM(B18:M18)</f>
        <v>7881.19</v>
      </c>
    </row>
    <row r="19" spans="1:15" ht="26.25" customHeight="1" thickBot="1" x14ac:dyDescent="0.3">
      <c r="A19" s="4" t="s">
        <v>16</v>
      </c>
      <c r="B19" s="10">
        <v>27884.41</v>
      </c>
      <c r="C19" s="10">
        <v>11924.71</v>
      </c>
      <c r="D19" s="10">
        <v>10377.61</v>
      </c>
      <c r="E19" s="10">
        <v>4844.0200000000004</v>
      </c>
      <c r="F19" s="10">
        <v>4615.1000000000004</v>
      </c>
      <c r="G19" s="10">
        <v>724.78</v>
      </c>
      <c r="H19" s="10">
        <v>203.02</v>
      </c>
      <c r="I19" s="10">
        <v>153.21</v>
      </c>
      <c r="J19" s="10">
        <v>34480.06</v>
      </c>
      <c r="K19" s="10">
        <f>10748.58+348</f>
        <v>11096.58</v>
      </c>
      <c r="L19" s="10">
        <v>1776.44</v>
      </c>
      <c r="M19" s="10">
        <v>552.01</v>
      </c>
      <c r="N19" s="10">
        <f>SUM(B19:M19)</f>
        <v>108631.94999999998</v>
      </c>
    </row>
    <row r="20" spans="1:15" ht="26.25" customHeight="1" thickBot="1" x14ac:dyDescent="0.3">
      <c r="A20" s="4" t="s">
        <v>17</v>
      </c>
      <c r="B20" s="10">
        <v>1165.74</v>
      </c>
      <c r="C20" s="10">
        <v>915.37</v>
      </c>
      <c r="D20" s="10">
        <v>916.57</v>
      </c>
      <c r="E20" s="10">
        <v>932.45</v>
      </c>
      <c r="F20" s="10">
        <v>908.3</v>
      </c>
      <c r="G20" s="10">
        <v>957.94</v>
      </c>
      <c r="H20" s="10">
        <v>955.05</v>
      </c>
      <c r="I20" s="10">
        <v>876.42</v>
      </c>
      <c r="J20" s="10">
        <v>1087.49</v>
      </c>
      <c r="K20" s="10">
        <f>990.04+33.41</f>
        <v>1023.4499999999999</v>
      </c>
      <c r="L20" s="10">
        <v>1035.82</v>
      </c>
      <c r="M20" s="10">
        <v>997.19</v>
      </c>
      <c r="N20" s="10">
        <f t="shared" ref="N20:N24" si="11">SUM(B20:M20)</f>
        <v>11771.790000000003</v>
      </c>
    </row>
    <row r="21" spans="1:15" ht="24" customHeight="1" thickBot="1" x14ac:dyDescent="0.3">
      <c r="A21" s="4" t="s">
        <v>18</v>
      </c>
      <c r="B21" s="10">
        <v>24091.29</v>
      </c>
      <c r="C21" s="10">
        <v>3536.68</v>
      </c>
      <c r="D21" s="10">
        <v>9943.41</v>
      </c>
      <c r="E21" s="10">
        <v>26880.81</v>
      </c>
      <c r="F21" s="10">
        <v>7097.39</v>
      </c>
      <c r="G21" s="10">
        <v>5271.44</v>
      </c>
      <c r="H21" s="10">
        <v>1835.29</v>
      </c>
      <c r="I21" s="10">
        <v>22462.93</v>
      </c>
      <c r="J21" s="10">
        <v>8382.4599999999991</v>
      </c>
      <c r="K21" s="10">
        <f>8180.66+428.42</f>
        <v>8609.08</v>
      </c>
      <c r="L21" s="10">
        <v>28053.68</v>
      </c>
      <c r="M21" s="10">
        <v>8024.58</v>
      </c>
      <c r="N21" s="10">
        <f t="shared" si="11"/>
        <v>154189.03999999998</v>
      </c>
    </row>
    <row r="22" spans="1:15" ht="24" customHeight="1" thickBot="1" x14ac:dyDescent="0.3">
      <c r="A22" s="4" t="s">
        <v>28</v>
      </c>
      <c r="B22" s="10">
        <v>1566.46</v>
      </c>
      <c r="C22" s="10">
        <v>1307.2</v>
      </c>
      <c r="D22" s="10">
        <v>1308.04</v>
      </c>
      <c r="E22" s="10">
        <v>1332.57</v>
      </c>
      <c r="F22" s="10">
        <v>1295.67</v>
      </c>
      <c r="G22" s="10">
        <v>1367.94</v>
      </c>
      <c r="H22" s="10">
        <v>1362.3</v>
      </c>
      <c r="I22" s="10">
        <v>1272.1600000000001</v>
      </c>
      <c r="J22" s="10">
        <v>1494.94</v>
      </c>
      <c r="K22" s="10">
        <f>1356.94+45.99</f>
        <v>1402.93</v>
      </c>
      <c r="L22" s="10">
        <v>1421.22</v>
      </c>
      <c r="M22" s="10">
        <v>1367.8</v>
      </c>
      <c r="N22" s="10">
        <f t="shared" si="11"/>
        <v>16499.23</v>
      </c>
    </row>
    <row r="23" spans="1:15" ht="24" customHeight="1" thickBot="1" x14ac:dyDescent="0.3">
      <c r="A23" s="4" t="s">
        <v>27</v>
      </c>
      <c r="B23" s="10">
        <v>8049.14</v>
      </c>
      <c r="C23" s="10">
        <v>7359.07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78.25</v>
      </c>
      <c r="J23" s="10">
        <f>7139.97+660.46</f>
        <v>7800.43</v>
      </c>
      <c r="K23" s="10">
        <f>7647.95+361.68</f>
        <v>8009.63</v>
      </c>
      <c r="L23" s="10">
        <v>7543.38</v>
      </c>
      <c r="M23" s="10">
        <f>7671.24+15.36</f>
        <v>7686.5999999999995</v>
      </c>
      <c r="N23" s="10">
        <f t="shared" si="11"/>
        <v>46526.5</v>
      </c>
    </row>
    <row r="24" spans="1:15" ht="21" customHeight="1" thickBot="1" x14ac:dyDescent="0.3">
      <c r="A24" s="4" t="s">
        <v>14</v>
      </c>
      <c r="B24" s="12">
        <v>1850</v>
      </c>
      <c r="C24" s="12">
        <v>1850</v>
      </c>
      <c r="D24" s="12">
        <v>1850</v>
      </c>
      <c r="E24" s="12">
        <v>1850</v>
      </c>
      <c r="F24" s="12">
        <v>1850</v>
      </c>
      <c r="G24" s="12">
        <v>1850</v>
      </c>
      <c r="H24" s="10">
        <v>1850</v>
      </c>
      <c r="I24" s="10">
        <v>1850</v>
      </c>
      <c r="J24" s="10">
        <v>1850</v>
      </c>
      <c r="K24" s="10">
        <v>7740</v>
      </c>
      <c r="L24" s="10">
        <v>1850</v>
      </c>
      <c r="M24" s="10">
        <v>1850</v>
      </c>
      <c r="N24" s="10">
        <f t="shared" si="11"/>
        <v>28090</v>
      </c>
      <c r="O24" s="3"/>
    </row>
    <row r="25" spans="1:15" ht="24.75" customHeight="1" thickBot="1" x14ac:dyDescent="0.35">
      <c r="A25" s="23" t="s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/>
    </row>
    <row r="26" spans="1:15" ht="19.5" customHeight="1" thickBot="1" x14ac:dyDescent="0.3">
      <c r="A26" s="4" t="s">
        <v>1</v>
      </c>
      <c r="B26" s="10">
        <f t="shared" ref="B26:M26" si="12">11924.1*0.55</f>
        <v>6558.255000000001</v>
      </c>
      <c r="C26" s="10">
        <f t="shared" si="12"/>
        <v>6558.255000000001</v>
      </c>
      <c r="D26" s="10">
        <f t="shared" si="12"/>
        <v>6558.255000000001</v>
      </c>
      <c r="E26" s="10">
        <f t="shared" si="12"/>
        <v>6558.255000000001</v>
      </c>
      <c r="F26" s="10">
        <f t="shared" si="12"/>
        <v>6558.255000000001</v>
      </c>
      <c r="G26" s="10">
        <f t="shared" si="12"/>
        <v>6558.255000000001</v>
      </c>
      <c r="H26" s="10">
        <f t="shared" si="12"/>
        <v>6558.255000000001</v>
      </c>
      <c r="I26" s="10">
        <f t="shared" si="12"/>
        <v>6558.255000000001</v>
      </c>
      <c r="J26" s="10">
        <f t="shared" si="12"/>
        <v>6558.255000000001</v>
      </c>
      <c r="K26" s="10">
        <f t="shared" si="12"/>
        <v>6558.255000000001</v>
      </c>
      <c r="L26" s="10">
        <f t="shared" si="12"/>
        <v>6558.255000000001</v>
      </c>
      <c r="M26" s="10">
        <f t="shared" si="12"/>
        <v>6558.255000000001</v>
      </c>
      <c r="N26" s="10">
        <f>SUM(B26:M26)</f>
        <v>78699.060000000041</v>
      </c>
    </row>
    <row r="27" spans="1:15" ht="22.5" customHeight="1" thickBot="1" x14ac:dyDescent="0.3">
      <c r="A27" s="4" t="s">
        <v>2</v>
      </c>
      <c r="B27" s="10">
        <f t="shared" ref="B27:M27" si="13">11924.1*0.17</f>
        <v>2027.0970000000002</v>
      </c>
      <c r="C27" s="10">
        <f t="shared" si="13"/>
        <v>2027.0970000000002</v>
      </c>
      <c r="D27" s="10">
        <f t="shared" si="13"/>
        <v>2027.0970000000002</v>
      </c>
      <c r="E27" s="10">
        <f t="shared" si="13"/>
        <v>2027.0970000000002</v>
      </c>
      <c r="F27" s="10">
        <f t="shared" si="13"/>
        <v>2027.0970000000002</v>
      </c>
      <c r="G27" s="10">
        <f t="shared" si="13"/>
        <v>2027.0970000000002</v>
      </c>
      <c r="H27" s="10">
        <f t="shared" si="13"/>
        <v>2027.0970000000002</v>
      </c>
      <c r="I27" s="10">
        <f t="shared" si="13"/>
        <v>2027.0970000000002</v>
      </c>
      <c r="J27" s="10">
        <f t="shared" si="13"/>
        <v>2027.0970000000002</v>
      </c>
      <c r="K27" s="10">
        <f t="shared" si="13"/>
        <v>2027.0970000000002</v>
      </c>
      <c r="L27" s="10">
        <f t="shared" si="13"/>
        <v>2027.0970000000002</v>
      </c>
      <c r="M27" s="10">
        <f t="shared" si="13"/>
        <v>2027.0970000000002</v>
      </c>
      <c r="N27" s="10">
        <f t="shared" ref="N27:N40" si="14">SUM(B27:M27)</f>
        <v>24325.164000000004</v>
      </c>
    </row>
    <row r="28" spans="1:15" ht="21" customHeight="1" thickBot="1" x14ac:dyDescent="0.3">
      <c r="A28" s="4" t="s">
        <v>3</v>
      </c>
      <c r="B28" s="10">
        <f>250916.28*2.3%</f>
        <v>5771.0744400000003</v>
      </c>
      <c r="C28" s="10">
        <f>258252.64*2.3%</f>
        <v>5939.8107200000004</v>
      </c>
      <c r="D28" s="10">
        <f>255359.58*2.3%</f>
        <v>5873.27034</v>
      </c>
      <c r="E28" s="10">
        <f>240031.39*2.3%</f>
        <v>5520.7219700000005</v>
      </c>
      <c r="F28" s="10">
        <f>233780.61*2.3%</f>
        <v>5376.9540299999999</v>
      </c>
      <c r="G28" s="10">
        <f>230818.31*2.3%</f>
        <v>5308.8211300000003</v>
      </c>
      <c r="H28" s="10">
        <f>254541.27*2.3%</f>
        <v>5854.4492099999998</v>
      </c>
      <c r="I28" s="10">
        <f>304751.2*2.3%</f>
        <v>7009.2776000000003</v>
      </c>
      <c r="J28" s="10">
        <f>278604.8*2.3%</f>
        <v>6407.9103999999998</v>
      </c>
      <c r="K28" s="10">
        <f>293011.22*2.3%</f>
        <v>6739.2580599999992</v>
      </c>
      <c r="L28" s="10">
        <f>266880.58*2.3%</f>
        <v>6138.2533400000002</v>
      </c>
      <c r="M28" s="10">
        <f>271603.87*2.3%</f>
        <v>6246.8890099999999</v>
      </c>
      <c r="N28" s="10">
        <f t="shared" si="14"/>
        <v>72186.69025</v>
      </c>
    </row>
    <row r="29" spans="1:15" ht="23.25" customHeight="1" thickBot="1" x14ac:dyDescent="0.3">
      <c r="A29" s="4" t="s">
        <v>4</v>
      </c>
      <c r="B29" s="10">
        <f>326066.17*3%</f>
        <v>9781.9850999999999</v>
      </c>
      <c r="C29" s="10">
        <f>235685.51*3%</f>
        <v>7070.5653000000002</v>
      </c>
      <c r="D29" s="10">
        <f>243087.92*3%</f>
        <v>7292.6376</v>
      </c>
      <c r="E29" s="10">
        <f>245438.48*3%</f>
        <v>7363.1544000000004</v>
      </c>
      <c r="F29" s="10">
        <f>229622.83*3%</f>
        <v>6888.6848999999993</v>
      </c>
      <c r="G29" s="10">
        <f>227871.78*3%</f>
        <v>6836.1534000000001</v>
      </c>
      <c r="H29" s="10">
        <f>226947.58*3%</f>
        <v>6808.4273999999996</v>
      </c>
      <c r="I29" s="10">
        <f>231500.6*3%</f>
        <v>6945.018</v>
      </c>
      <c r="J29" s="10">
        <f>312972.16*3%</f>
        <v>9389.1647999999986</v>
      </c>
      <c r="K29" s="10">
        <f>268422.35*3%</f>
        <v>8052.6704999999993</v>
      </c>
      <c r="L29" s="10">
        <f>288627.83*3%</f>
        <v>8658.8348999999998</v>
      </c>
      <c r="M29" s="10">
        <f>260534.27*3%</f>
        <v>7816.0280999999995</v>
      </c>
      <c r="N29" s="10">
        <f t="shared" si="14"/>
        <v>92903.324399999998</v>
      </c>
    </row>
    <row r="30" spans="1:15" ht="23.25" customHeight="1" thickBot="1" x14ac:dyDescent="0.3">
      <c r="A30" s="4" t="s">
        <v>9</v>
      </c>
      <c r="B30" s="10">
        <f t="shared" ref="B30:H30" si="15">11924.1*6.4</f>
        <v>76314.240000000005</v>
      </c>
      <c r="C30" s="10">
        <f t="shared" si="15"/>
        <v>76314.240000000005</v>
      </c>
      <c r="D30" s="10">
        <f t="shared" si="15"/>
        <v>76314.240000000005</v>
      </c>
      <c r="E30" s="10">
        <f t="shared" si="15"/>
        <v>76314.240000000005</v>
      </c>
      <c r="F30" s="10">
        <f t="shared" si="15"/>
        <v>76314.240000000005</v>
      </c>
      <c r="G30" s="10">
        <f t="shared" si="15"/>
        <v>76314.240000000005</v>
      </c>
      <c r="H30" s="10">
        <f t="shared" si="15"/>
        <v>76314.240000000005</v>
      </c>
      <c r="I30" s="15">
        <f>11926.7*7.4</f>
        <v>88257.580000000016</v>
      </c>
      <c r="J30" s="15">
        <f>11926.7*7.4</f>
        <v>88257.580000000016</v>
      </c>
      <c r="K30" s="15">
        <f t="shared" ref="K30:M30" si="16">11926.7*7.4</f>
        <v>88257.580000000016</v>
      </c>
      <c r="L30" s="15">
        <f t="shared" si="16"/>
        <v>88257.580000000016</v>
      </c>
      <c r="M30" s="15">
        <f t="shared" si="16"/>
        <v>88257.580000000016</v>
      </c>
      <c r="N30" s="10">
        <f t="shared" si="14"/>
        <v>975487.58000000031</v>
      </c>
    </row>
    <row r="31" spans="1:15" s="6" customFormat="1" ht="26.25" customHeight="1" thickBot="1" x14ac:dyDescent="0.3">
      <c r="A31" s="5" t="s">
        <v>19</v>
      </c>
      <c r="B31" s="15">
        <f>9951.72+1251.72</f>
        <v>11203.439999999999</v>
      </c>
      <c r="C31" s="15">
        <f>4024.45+506.22</f>
        <v>4530.67</v>
      </c>
      <c r="D31" s="15">
        <f>4024.45+506.22</f>
        <v>4530.67</v>
      </c>
      <c r="E31" s="15">
        <v>0</v>
      </c>
      <c r="F31" s="15">
        <v>0</v>
      </c>
      <c r="G31" s="15">
        <v>0</v>
      </c>
      <c r="H31" s="15">
        <f>38029.7+0</f>
        <v>38029.699999999997</v>
      </c>
      <c r="I31" s="15">
        <f>10312.94+446.24</f>
        <v>10759.18</v>
      </c>
      <c r="J31" s="15">
        <f>2022.56+261.16</f>
        <v>2283.7199999999998</v>
      </c>
      <c r="K31" s="15">
        <v>0</v>
      </c>
      <c r="L31" s="15">
        <v>0</v>
      </c>
      <c r="M31" s="15">
        <v>0</v>
      </c>
      <c r="N31" s="10">
        <f t="shared" si="14"/>
        <v>71337.38</v>
      </c>
    </row>
    <row r="32" spans="1:15" s="6" customFormat="1" ht="26.25" customHeight="1" thickBot="1" x14ac:dyDescent="0.3">
      <c r="A32" s="5" t="s">
        <v>20</v>
      </c>
      <c r="B32" s="15">
        <v>974.23</v>
      </c>
      <c r="C32" s="15">
        <v>974.23</v>
      </c>
      <c r="D32" s="15">
        <v>974.23</v>
      </c>
      <c r="E32" s="15">
        <v>974.23</v>
      </c>
      <c r="F32" s="15">
        <v>974.23</v>
      </c>
      <c r="G32" s="15">
        <v>974.23</v>
      </c>
      <c r="H32" s="15">
        <v>1034.1400000000001</v>
      </c>
      <c r="I32" s="15">
        <v>1034.1400000000001</v>
      </c>
      <c r="J32" s="15">
        <v>1034.1400000000001</v>
      </c>
      <c r="K32" s="15">
        <v>1034.1400000000001</v>
      </c>
      <c r="L32" s="15">
        <v>1034.1400000000001</v>
      </c>
      <c r="M32" s="15">
        <v>1034.1400000000001</v>
      </c>
      <c r="N32" s="10">
        <f t="shared" si="14"/>
        <v>12050.219999999998</v>
      </c>
    </row>
    <row r="33" spans="1:14" s="6" customFormat="1" ht="26.25" customHeight="1" thickBot="1" x14ac:dyDescent="0.3">
      <c r="A33" s="5" t="s">
        <v>21</v>
      </c>
      <c r="B33" s="15">
        <v>10076.5</v>
      </c>
      <c r="C33" s="15">
        <v>29785.01</v>
      </c>
      <c r="D33" s="15">
        <v>6440.01</v>
      </c>
      <c r="E33" s="15">
        <v>4700.49</v>
      </c>
      <c r="F33" s="15">
        <v>1729</v>
      </c>
      <c r="G33" s="15">
        <v>25501</v>
      </c>
      <c r="H33" s="15">
        <v>7310.64</v>
      </c>
      <c r="I33" s="15">
        <v>8352.93</v>
      </c>
      <c r="J33" s="15">
        <v>31279.41</v>
      </c>
      <c r="K33" s="15">
        <v>7351</v>
      </c>
      <c r="L33" s="15">
        <v>12088.98</v>
      </c>
      <c r="M33" s="15">
        <v>14213.92</v>
      </c>
      <c r="N33" s="10">
        <f t="shared" si="14"/>
        <v>158828.89000000001</v>
      </c>
    </row>
    <row r="34" spans="1:14" ht="26.25" customHeight="1" thickBot="1" x14ac:dyDescent="0.3">
      <c r="A34" s="4" t="s">
        <v>28</v>
      </c>
      <c r="B34" s="10">
        <v>1393.01</v>
      </c>
      <c r="C34" s="10">
        <v>1393.01</v>
      </c>
      <c r="D34" s="10">
        <v>1393.01</v>
      </c>
      <c r="E34" s="10">
        <v>1393.01</v>
      </c>
      <c r="F34" s="10">
        <v>1393.01</v>
      </c>
      <c r="G34" s="10">
        <v>1393.01</v>
      </c>
      <c r="H34" s="10">
        <v>1417.97</v>
      </c>
      <c r="I34" s="10">
        <v>1417.97</v>
      </c>
      <c r="J34" s="10">
        <v>1417.97</v>
      </c>
      <c r="K34" s="10">
        <v>1417.97</v>
      </c>
      <c r="L34" s="10">
        <v>1417.97</v>
      </c>
      <c r="M34" s="10">
        <v>1417.97</v>
      </c>
      <c r="N34" s="10">
        <f t="shared" si="14"/>
        <v>16865.879999999997</v>
      </c>
    </row>
    <row r="35" spans="1:14" ht="22.5" customHeight="1" thickBot="1" x14ac:dyDescent="0.3">
      <c r="A35" s="4" t="s">
        <v>6</v>
      </c>
      <c r="B35" s="10">
        <f>11924.1*2.85</f>
        <v>33983.685000000005</v>
      </c>
      <c r="C35" s="10">
        <f t="shared" ref="C35:H35" si="17">11924.1*2.85</f>
        <v>33983.685000000005</v>
      </c>
      <c r="D35" s="10">
        <f t="shared" si="17"/>
        <v>33983.685000000005</v>
      </c>
      <c r="E35" s="10">
        <f t="shared" si="17"/>
        <v>33983.685000000005</v>
      </c>
      <c r="F35" s="10">
        <f t="shared" si="17"/>
        <v>33983.685000000005</v>
      </c>
      <c r="G35" s="10">
        <f t="shared" si="17"/>
        <v>33983.685000000005</v>
      </c>
      <c r="H35" s="10">
        <f t="shared" si="17"/>
        <v>33983.685000000005</v>
      </c>
      <c r="I35" s="15">
        <f>11926.7*3.13</f>
        <v>37330.571000000004</v>
      </c>
      <c r="J35" s="15">
        <f>11926.7*3.13</f>
        <v>37330.571000000004</v>
      </c>
      <c r="K35" s="15">
        <f t="shared" ref="K35:M35" si="18">11926.7*3.13</f>
        <v>37330.571000000004</v>
      </c>
      <c r="L35" s="15">
        <f t="shared" si="18"/>
        <v>37330.571000000004</v>
      </c>
      <c r="M35" s="15">
        <f t="shared" si="18"/>
        <v>37330.571000000004</v>
      </c>
      <c r="N35" s="10">
        <f t="shared" si="14"/>
        <v>424538.65</v>
      </c>
    </row>
    <row r="36" spans="1:14" ht="21.75" customHeight="1" thickBot="1" x14ac:dyDescent="0.3">
      <c r="A36" s="4" t="s">
        <v>27</v>
      </c>
      <c r="B36" s="10">
        <v>7630</v>
      </c>
      <c r="C36" s="10">
        <v>7075</v>
      </c>
      <c r="D36" s="10">
        <v>0</v>
      </c>
      <c r="E36" s="10">
        <v>0</v>
      </c>
      <c r="F36" s="10">
        <v>210</v>
      </c>
      <c r="G36" s="10">
        <v>0</v>
      </c>
      <c r="H36" s="10">
        <v>0</v>
      </c>
      <c r="I36" s="10">
        <v>0</v>
      </c>
      <c r="J36" s="10">
        <v>6657</v>
      </c>
      <c r="K36" s="10">
        <v>8245</v>
      </c>
      <c r="L36" s="10">
        <v>7040</v>
      </c>
      <c r="M36" s="10">
        <v>7240</v>
      </c>
      <c r="N36" s="10">
        <f t="shared" si="14"/>
        <v>44097</v>
      </c>
    </row>
    <row r="37" spans="1:14" ht="24.75" customHeight="1" thickBot="1" x14ac:dyDescent="0.3">
      <c r="A37" s="4" t="s">
        <v>24</v>
      </c>
      <c r="B37" s="10">
        <v>1140</v>
      </c>
      <c r="C37" s="10">
        <v>0</v>
      </c>
      <c r="D37" s="10">
        <v>1140</v>
      </c>
      <c r="E37" s="10">
        <v>1140</v>
      </c>
      <c r="F37" s="10">
        <v>1140</v>
      </c>
      <c r="G37" s="10">
        <v>1140</v>
      </c>
      <c r="H37" s="10">
        <v>0</v>
      </c>
      <c r="I37" s="10">
        <v>0</v>
      </c>
      <c r="J37" s="10">
        <v>0</v>
      </c>
      <c r="K37" s="10">
        <f>1140</f>
        <v>1140</v>
      </c>
      <c r="L37" s="10">
        <f>1140</f>
        <v>1140</v>
      </c>
      <c r="M37" s="10">
        <f>1140</f>
        <v>1140</v>
      </c>
      <c r="N37" s="10">
        <f t="shared" si="14"/>
        <v>9120</v>
      </c>
    </row>
    <row r="38" spans="1:14" ht="24.75" customHeight="1" thickBot="1" x14ac:dyDescent="0.3">
      <c r="A38" s="4" t="s">
        <v>25</v>
      </c>
      <c r="B38" s="10">
        <v>39800.46</v>
      </c>
      <c r="C38" s="10">
        <v>39800.46</v>
      </c>
      <c r="D38" s="10">
        <v>39800.46</v>
      </c>
      <c r="E38" s="10">
        <v>39800.46</v>
      </c>
      <c r="F38" s="10">
        <v>39800.46</v>
      </c>
      <c r="G38" s="10">
        <v>39800.46</v>
      </c>
      <c r="H38" s="10">
        <v>39800.46</v>
      </c>
      <c r="I38" s="10">
        <v>39800.46</v>
      </c>
      <c r="J38" s="10">
        <v>39800.46</v>
      </c>
      <c r="K38" s="10">
        <v>39800.46</v>
      </c>
      <c r="L38" s="10">
        <v>39800.46</v>
      </c>
      <c r="M38" s="10">
        <v>39800.46</v>
      </c>
      <c r="N38" s="10">
        <f t="shared" si="14"/>
        <v>477605.52000000008</v>
      </c>
    </row>
    <row r="39" spans="1:14" ht="24.75" customHeight="1" thickBot="1" x14ac:dyDescent="0.3">
      <c r="A39" s="4" t="s">
        <v>26</v>
      </c>
      <c r="B39" s="10">
        <v>0</v>
      </c>
      <c r="C39" s="10">
        <v>0</v>
      </c>
      <c r="D39" s="10">
        <v>0</v>
      </c>
      <c r="E39" s="10">
        <v>0</v>
      </c>
      <c r="F39" s="10">
        <v>18990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f t="shared" si="14"/>
        <v>18990</v>
      </c>
    </row>
    <row r="40" spans="1:14" ht="24" customHeight="1" thickBot="1" x14ac:dyDescent="0.3">
      <c r="A40" s="4" t="s">
        <v>10</v>
      </c>
      <c r="B40" s="10">
        <f>9815.7+796.5+2651.7+75</f>
        <v>13338.900000000001</v>
      </c>
      <c r="C40" s="10">
        <f>777+759.1+31630.2+430+2250</f>
        <v>35846.300000000003</v>
      </c>
      <c r="D40" s="10">
        <f>4200+150</f>
        <v>4350</v>
      </c>
      <c r="E40" s="10">
        <f>16521.79+1297.2+464.4+13503.6+500+3210</f>
        <v>35496.990000000005</v>
      </c>
      <c r="F40" s="10">
        <f>1550+4377.2+258000</f>
        <v>263927.2</v>
      </c>
      <c r="G40" s="10">
        <f>841.9+10043.59</f>
        <v>10885.49</v>
      </c>
      <c r="H40" s="10">
        <f>95+3976.3+957.9+2342+1579.7</f>
        <v>8950.9</v>
      </c>
      <c r="I40" s="10">
        <f>2660+76050+351334.48+95+7725.8+4375.7</f>
        <v>442240.98</v>
      </c>
      <c r="J40" s="10">
        <f>258000+5781.8+95+95+95</f>
        <v>264066.8</v>
      </c>
      <c r="K40" s="10">
        <f>4855.1+1068.3+2176.2</f>
        <v>8099.6</v>
      </c>
      <c r="L40" s="10">
        <f>95+9832.4+4298.5+1358.2+309.7+1963.6</f>
        <v>17857.400000000001</v>
      </c>
      <c r="M40" s="10">
        <f>210+2444.8</f>
        <v>2654.8</v>
      </c>
      <c r="N40" s="10">
        <f t="shared" si="14"/>
        <v>1107715.3600000001</v>
      </c>
    </row>
    <row r="41" spans="1:14" ht="22.5" customHeight="1" thickBot="1" x14ac:dyDescent="0.3">
      <c r="A41" s="20" t="s">
        <v>22</v>
      </c>
      <c r="B41" s="9">
        <f t="shared" ref="B41:M41" si="19">SUM(B26:B40)</f>
        <v>219992.87654</v>
      </c>
      <c r="C41" s="9">
        <f t="shared" si="19"/>
        <v>251298.33302000002</v>
      </c>
      <c r="D41" s="9">
        <f t="shared" si="19"/>
        <v>190677.56493999998</v>
      </c>
      <c r="E41" s="9">
        <f t="shared" si="19"/>
        <v>215272.33337000001</v>
      </c>
      <c r="F41" s="9">
        <f t="shared" si="19"/>
        <v>459312.81593000004</v>
      </c>
      <c r="G41" s="9">
        <f t="shared" si="19"/>
        <v>210722.44152999998</v>
      </c>
      <c r="H41" s="9">
        <f t="shared" si="19"/>
        <v>228089.96361000001</v>
      </c>
      <c r="I41" s="9">
        <f t="shared" si="19"/>
        <v>651733.45860000001</v>
      </c>
      <c r="J41" s="9">
        <f t="shared" si="19"/>
        <v>496510.07819999999</v>
      </c>
      <c r="K41" s="9">
        <f t="shared" si="19"/>
        <v>216053.60156000001</v>
      </c>
      <c r="L41" s="9">
        <f t="shared" si="19"/>
        <v>229349.54123999999</v>
      </c>
      <c r="M41" s="9">
        <f t="shared" si="19"/>
        <v>215737.71010999999</v>
      </c>
      <c r="N41" s="9">
        <f>SUM(B41:M41)</f>
        <v>3584750.7186499997</v>
      </c>
    </row>
    <row r="42" spans="1:14" ht="23.25" customHeight="1" thickBot="1" x14ac:dyDescent="0.3">
      <c r="A42" s="4" t="s">
        <v>5</v>
      </c>
      <c r="B42" s="16">
        <f t="shared" ref="B42:N42" si="20">B16-B41</f>
        <v>107923.29345999999</v>
      </c>
      <c r="C42" s="16">
        <f t="shared" si="20"/>
        <v>-13762.823020000011</v>
      </c>
      <c r="D42" s="16">
        <f t="shared" si="20"/>
        <v>54260.35506000006</v>
      </c>
      <c r="E42" s="16">
        <f t="shared" si="20"/>
        <v>32016.146630000003</v>
      </c>
      <c r="F42" s="16">
        <f t="shared" si="20"/>
        <v>-227839.98593000002</v>
      </c>
      <c r="G42" s="16">
        <f t="shared" si="20"/>
        <v>18999.338470000017</v>
      </c>
      <c r="H42" s="16">
        <f t="shared" si="20"/>
        <v>707.61638999995193</v>
      </c>
      <c r="I42" s="16">
        <f t="shared" si="20"/>
        <v>-418382.85860000004</v>
      </c>
      <c r="J42" s="16">
        <f t="shared" si="20"/>
        <v>-181687.91820000001</v>
      </c>
      <c r="K42" s="16">
        <f t="shared" si="20"/>
        <v>68845.758439999976</v>
      </c>
      <c r="L42" s="16">
        <f t="shared" si="20"/>
        <v>61128.288759999967</v>
      </c>
      <c r="M42" s="16">
        <f t="shared" si="20"/>
        <v>46646.559890000033</v>
      </c>
      <c r="N42" s="16">
        <f t="shared" si="20"/>
        <v>-451146.22864999948</v>
      </c>
    </row>
    <row r="43" spans="1:14" ht="23.25" customHeight="1" thickBot="1" x14ac:dyDescent="0.3">
      <c r="A43" s="4" t="s">
        <v>7</v>
      </c>
      <c r="B43" s="12">
        <f t="shared" ref="B43:N43" si="21">B5+B42</f>
        <v>-1367784.3965399999</v>
      </c>
      <c r="C43" s="12">
        <f t="shared" si="21"/>
        <v>-1381547.2195599999</v>
      </c>
      <c r="D43" s="12">
        <f t="shared" si="21"/>
        <v>-1327286.8644999999</v>
      </c>
      <c r="E43" s="12">
        <f t="shared" si="21"/>
        <v>-1295270.7178699998</v>
      </c>
      <c r="F43" s="12">
        <f t="shared" si="21"/>
        <v>-1523110.7037999998</v>
      </c>
      <c r="G43" s="12">
        <f t="shared" si="21"/>
        <v>-1504111.3653299997</v>
      </c>
      <c r="H43" s="12">
        <f t="shared" si="21"/>
        <v>-1503403.7489399998</v>
      </c>
      <c r="I43" s="12">
        <f t="shared" si="21"/>
        <v>-1921786.6075399998</v>
      </c>
      <c r="J43" s="12">
        <f t="shared" si="21"/>
        <v>-2103474.52574</v>
      </c>
      <c r="K43" s="12">
        <f t="shared" si="21"/>
        <v>-2034628.7672999999</v>
      </c>
      <c r="L43" s="12">
        <f t="shared" si="21"/>
        <v>-1973500.47854</v>
      </c>
      <c r="M43" s="12">
        <f t="shared" si="21"/>
        <v>-1926853.9186499999</v>
      </c>
      <c r="N43" s="12">
        <f t="shared" si="21"/>
        <v>-1926853.9186499994</v>
      </c>
    </row>
    <row r="44" spans="1:14" ht="27" customHeight="1" thickBot="1" x14ac:dyDescent="0.3">
      <c r="A44" s="22" t="s">
        <v>11</v>
      </c>
      <c r="B44" s="17">
        <f>B6+B16-B7</f>
        <v>-662322.93999999994</v>
      </c>
      <c r="C44" s="17">
        <f t="shared" ref="C44:N44" si="22">C6+C16-C7</f>
        <v>-686671.94</v>
      </c>
      <c r="D44" s="17">
        <f t="shared" si="22"/>
        <v>-700731.28999999992</v>
      </c>
      <c r="E44" s="17">
        <f t="shared" si="22"/>
        <v>-697039.16999999993</v>
      </c>
      <c r="F44" s="17">
        <f t="shared" si="22"/>
        <v>-702892.25999999989</v>
      </c>
      <c r="G44" s="17">
        <f t="shared" si="22"/>
        <v>-707524.81999999983</v>
      </c>
      <c r="H44" s="17">
        <f t="shared" si="22"/>
        <v>-736879.10999999987</v>
      </c>
      <c r="I44" s="17">
        <f t="shared" si="22"/>
        <v>-812021.64999999991</v>
      </c>
      <c r="J44" s="17">
        <f t="shared" si="22"/>
        <v>-779464.98</v>
      </c>
      <c r="K44" s="17">
        <f t="shared" si="22"/>
        <v>-791282.42</v>
      </c>
      <c r="L44" s="17">
        <f t="shared" si="22"/>
        <v>-771309.50000000012</v>
      </c>
      <c r="M44" s="17">
        <f t="shared" si="22"/>
        <v>-784167.90000000014</v>
      </c>
      <c r="N44" s="17">
        <f t="shared" si="22"/>
        <v>-784167.90000000037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2022-03-17T05:19:10Z</cp:lastPrinted>
  <dcterms:created xsi:type="dcterms:W3CDTF">2011-06-06T03:25:48Z</dcterms:created>
  <dcterms:modified xsi:type="dcterms:W3CDTF">2022-03-17T05:25:30Z</dcterms:modified>
</cp:coreProperties>
</file>