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1" sheetId="1" r:id="rId1"/>
  </sheets>
  <calcPr calcId="144525" refMode="R1C1"/>
</workbook>
</file>

<file path=xl/calcChain.xml><?xml version="1.0" encoding="utf-8"?>
<calcChain xmlns="http://schemas.openxmlformats.org/spreadsheetml/2006/main">
  <c r="M37" i="1" l="1"/>
  <c r="M34" i="1" l="1"/>
  <c r="L34" i="1" l="1"/>
  <c r="K34" i="1" l="1"/>
  <c r="M29" i="1" l="1"/>
  <c r="L29" i="1"/>
  <c r="K29" i="1"/>
  <c r="M27" i="1" l="1"/>
  <c r="M16" i="1"/>
  <c r="M26" i="1"/>
  <c r="M8" i="1"/>
  <c r="L27" i="1" l="1"/>
  <c r="L16" i="1"/>
  <c r="L26" i="1"/>
  <c r="L8" i="1"/>
  <c r="K37" i="1" l="1"/>
  <c r="K27" i="1" l="1"/>
  <c r="K16" i="1"/>
  <c r="K26" i="1"/>
  <c r="K8" i="1"/>
  <c r="L33" i="1" l="1"/>
  <c r="M33" i="1"/>
  <c r="K33" i="1"/>
  <c r="L28" i="1"/>
  <c r="M28" i="1"/>
  <c r="K28" i="1"/>
  <c r="K24" i="1"/>
  <c r="L24" i="1"/>
  <c r="M24" i="1"/>
  <c r="C33" i="1" l="1"/>
  <c r="D33" i="1"/>
  <c r="E33" i="1"/>
  <c r="F33" i="1"/>
  <c r="G33" i="1"/>
  <c r="H33" i="1"/>
  <c r="I33" i="1"/>
  <c r="J33" i="1"/>
  <c r="B33" i="1"/>
  <c r="J37" i="1" l="1"/>
  <c r="C28" i="1" l="1"/>
  <c r="D28" i="1"/>
  <c r="E28" i="1"/>
  <c r="F28" i="1"/>
  <c r="G28" i="1"/>
  <c r="H28" i="1"/>
  <c r="I28" i="1"/>
  <c r="J28" i="1"/>
  <c r="B28" i="1"/>
  <c r="J29" i="1" l="1"/>
  <c r="H29" i="1"/>
  <c r="J34" i="1" l="1"/>
  <c r="I34" i="1" l="1"/>
  <c r="H34" i="1" l="1"/>
  <c r="J27" i="1" l="1"/>
  <c r="J16" i="1"/>
  <c r="J26" i="1"/>
  <c r="J8" i="1"/>
  <c r="H37" i="1" l="1"/>
  <c r="I27" i="1" l="1"/>
  <c r="I16" i="1"/>
  <c r="I26" i="1"/>
  <c r="I8" i="1"/>
  <c r="N36" i="1" l="1"/>
  <c r="H27" i="1" l="1"/>
  <c r="H16" i="1"/>
  <c r="H26" i="1"/>
  <c r="H8" i="1"/>
  <c r="H24" i="1" l="1"/>
  <c r="I24" i="1"/>
  <c r="J24" i="1"/>
  <c r="G37" i="1" l="1"/>
  <c r="G34" i="1" l="1"/>
  <c r="F34" i="1" l="1"/>
  <c r="E34" i="1" l="1"/>
  <c r="F37" i="1" l="1"/>
  <c r="F29" i="1" l="1"/>
  <c r="G27" i="1" l="1"/>
  <c r="G16" i="1"/>
  <c r="G26" i="1"/>
  <c r="G8" i="1"/>
  <c r="F27" i="1" l="1"/>
  <c r="F16" i="1"/>
  <c r="F26" i="1"/>
  <c r="F8" i="1"/>
  <c r="E27" i="1" l="1"/>
  <c r="E16" i="1"/>
  <c r="E26" i="1"/>
  <c r="E8" i="1"/>
  <c r="E37" i="1" l="1"/>
  <c r="E24" i="1" l="1"/>
  <c r="F24" i="1"/>
  <c r="G24" i="1"/>
  <c r="D24" i="1"/>
  <c r="D34" i="1" l="1"/>
  <c r="D37" i="1" l="1"/>
  <c r="C34" i="1" l="1"/>
  <c r="D27" i="1" l="1"/>
  <c r="D16" i="1"/>
  <c r="D26" i="1"/>
  <c r="D8" i="1"/>
  <c r="C27" i="1" l="1"/>
  <c r="C16" i="1"/>
  <c r="C26" i="1"/>
  <c r="C8" i="1"/>
  <c r="B27" i="1" l="1"/>
  <c r="B16" i="1"/>
  <c r="B26" i="1"/>
  <c r="B8" i="1"/>
  <c r="C24" i="1" l="1"/>
  <c r="B24" i="1"/>
  <c r="N28" i="1" l="1"/>
  <c r="N30" i="1"/>
  <c r="N31" i="1"/>
  <c r="N32" i="1"/>
  <c r="N34" i="1"/>
  <c r="N35" i="1"/>
  <c r="N33" i="1" l="1"/>
  <c r="N25" i="1" l="1"/>
  <c r="N24" i="1"/>
  <c r="N37" i="1" l="1"/>
  <c r="N29" i="1" l="1"/>
  <c r="N27" i="1" l="1"/>
  <c r="N26" i="1"/>
  <c r="N6" i="1" l="1"/>
  <c r="N5" i="1"/>
  <c r="M7" i="1" l="1"/>
  <c r="N8" i="1"/>
  <c r="K7" i="1"/>
  <c r="N17" i="1"/>
  <c r="N18" i="1"/>
  <c r="N19" i="1"/>
  <c r="N20" i="1"/>
  <c r="N21" i="1"/>
  <c r="N22" i="1"/>
  <c r="N16" i="1"/>
  <c r="K15" i="1"/>
  <c r="L15" i="1"/>
  <c r="M15" i="1"/>
  <c r="N9" i="1"/>
  <c r="N10" i="1"/>
  <c r="N11" i="1"/>
  <c r="N12" i="1"/>
  <c r="N13" i="1"/>
  <c r="N14" i="1"/>
  <c r="L7" i="1"/>
  <c r="M38" i="1" l="1"/>
  <c r="M39" i="1" s="1"/>
  <c r="L38" i="1"/>
  <c r="L39" i="1" s="1"/>
  <c r="K38" i="1"/>
  <c r="K39" i="1" l="1"/>
  <c r="H15" i="1"/>
  <c r="I15" i="1"/>
  <c r="J15" i="1"/>
  <c r="H7" i="1"/>
  <c r="I7" i="1"/>
  <c r="J7" i="1"/>
  <c r="J38" i="1" l="1"/>
  <c r="J39" i="1" s="1"/>
  <c r="I38" i="1"/>
  <c r="I39" i="1" s="1"/>
  <c r="H38" i="1" l="1"/>
  <c r="H39" i="1" s="1"/>
  <c r="G7" i="1"/>
  <c r="E7" i="1"/>
  <c r="E15" i="1"/>
  <c r="F15" i="1"/>
  <c r="G15" i="1"/>
  <c r="F7" i="1"/>
  <c r="D15" i="1"/>
  <c r="D7" i="1"/>
  <c r="C15" i="1"/>
  <c r="C7" i="1"/>
  <c r="B15" i="1"/>
  <c r="B7" i="1"/>
  <c r="C38" i="1" l="1"/>
  <c r="C39" i="1" s="1"/>
  <c r="N15" i="1"/>
  <c r="N7" i="1"/>
  <c r="F38" i="1"/>
  <c r="F39" i="1" s="1"/>
  <c r="E38" i="1"/>
  <c r="B41" i="1"/>
  <c r="C6" i="1" s="1"/>
  <c r="D38" i="1"/>
  <c r="D39" i="1" s="1"/>
  <c r="N41" i="1" l="1"/>
  <c r="C41" i="1"/>
  <c r="D6" i="1" s="1"/>
  <c r="D41" i="1" s="1"/>
  <c r="E6" i="1" s="1"/>
  <c r="E39" i="1"/>
  <c r="G38" i="1"/>
  <c r="G39" i="1" s="1"/>
  <c r="B38" i="1"/>
  <c r="N38" i="1" l="1"/>
  <c r="N39" i="1" s="1"/>
  <c r="N40" i="1" s="1"/>
  <c r="B39" i="1"/>
  <c r="B40" i="1" s="1"/>
  <c r="C5" i="1" s="1"/>
  <c r="E41" i="1"/>
  <c r="F6" i="1" s="1"/>
  <c r="C40" i="1" l="1"/>
  <c r="D40" i="1" s="1"/>
  <c r="F41" i="1"/>
  <c r="G6" i="1" s="1"/>
  <c r="D5" i="1" l="1"/>
  <c r="G41" i="1"/>
  <c r="H6" i="1" s="1"/>
  <c r="E5" i="1"/>
  <c r="E40" i="1"/>
  <c r="H41" i="1" l="1"/>
  <c r="I6" i="1" s="1"/>
  <c r="F40" i="1"/>
  <c r="F5" i="1"/>
  <c r="I41" i="1" l="1"/>
  <c r="J6" i="1" s="1"/>
  <c r="G5" i="1"/>
  <c r="G40" i="1"/>
  <c r="J41" i="1" l="1"/>
  <c r="K6" i="1" s="1"/>
  <c r="H5" i="1"/>
  <c r="H40" i="1"/>
  <c r="K41" i="1" l="1"/>
  <c r="L6" i="1" s="1"/>
  <c r="I5" i="1"/>
  <c r="I40" i="1"/>
  <c r="L41" i="1" l="1"/>
  <c r="M6" i="1" s="1"/>
  <c r="M41" i="1" s="1"/>
  <c r="J5" i="1"/>
  <c r="J40" i="1"/>
  <c r="K5" i="1" l="1"/>
  <c r="K40" i="1"/>
  <c r="L40" i="1" l="1"/>
  <c r="L5" i="1"/>
  <c r="M5" i="1" l="1"/>
  <c r="M40" i="1"/>
</calcChain>
</file>

<file path=xl/sharedStrings.xml><?xml version="1.0" encoding="utf-8"?>
<sst xmlns="http://schemas.openxmlformats.org/spreadsheetml/2006/main" count="52" uniqueCount="44">
  <si>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</si>
  <si>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</si>
  <si>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</si>
  <si>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</si>
  <si>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</si>
  <si>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</si>
  <si>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</si>
  <si>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</si>
  <si>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</si>
  <si>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</si>
  <si>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</si>
  <si>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</si>
  <si>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</si>
  <si>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</si>
  <si>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</si>
  <si>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</si>
  <si>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</si>
  <si>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</si>
  <si>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</si>
  <si>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</si>
  <si>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</si>
  <si>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</si>
  <si>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</si>
  <si>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</si>
  <si>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Тех.обслуживание узла учета теплоэнергии и ХВС</t>
  </si>
  <si>
    <t>Вознаграждение, координация с советом МКД</t>
  </si>
  <si>
    <t xml:space="preserve">Отведение стоков ОИ </t>
  </si>
  <si>
    <t>Содержание жилья и текущий ремонт,  ОПУ</t>
  </si>
  <si>
    <t xml:space="preserve">Содержание жилья и текущий ремонт,  ОПУ </t>
  </si>
  <si>
    <t>Январь 2021г.</t>
  </si>
  <si>
    <t>Февраль 2021г.</t>
  </si>
  <si>
    <t>Март 2021г.</t>
  </si>
  <si>
    <t>Апрель 2021г.</t>
  </si>
  <si>
    <t>Май 2021г.</t>
  </si>
  <si>
    <t>Июнь 2021г.</t>
  </si>
  <si>
    <t>Июль 2021г.</t>
  </si>
  <si>
    <t>Август 2021г.</t>
  </si>
  <si>
    <t>Сентябрь 2021г.</t>
  </si>
  <si>
    <t>Октябрь 2021г</t>
  </si>
  <si>
    <t>Ноябрь 2021г</t>
  </si>
  <si>
    <t>Декабрь 2021г</t>
  </si>
  <si>
    <t>Всего:                       за  2021г</t>
  </si>
  <si>
    <t>ЕИРКЦ (ведение счета по кап.ремонту)</t>
  </si>
  <si>
    <t xml:space="preserve">                 ОТЧЕТ по дому Ломоносова, 30 за период 01.01.2021г. по 31.12.2021г.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</si>
</sst>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5" fillId="0" borderId="2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164" fontId="7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1"/>
  <sheetViews>
    <sheetView tabSelected="1" topLeftCell="A31" zoomScale="75" workbookViewId="0">
      <selection activeCell="B2" sqref="B1:I1048576"/>
    </sheetView>
  </sheetViews>
  <sheetFormatPr defaultRowHeight="13.2" x14ac:dyDescent="0.25"/>
  <cols>
    <col min="1" max="1" width="58.6640625" customWidth="1"/>
    <col min="2" max="2" width="13.33203125" customWidth="1"/>
    <col min="3" max="4" width="13.44140625" customWidth="1"/>
    <col min="5" max="6" width="13.5546875" customWidth="1"/>
    <col min="7" max="7" width="13.44140625" customWidth="1"/>
    <col min="8" max="8" width="13.88671875" customWidth="1"/>
    <col min="9" max="9" width="13.5546875" customWidth="1"/>
    <col min="10" max="13" width="13.88671875" customWidth="1"/>
    <col min="14" max="14" width="15.109375" customWidth="1"/>
  </cols>
  <sheetData>
    <row r="1" spans="1:18" ht="20.25" customHeight="1" x14ac:dyDescent="0.35">
      <c r="A1" s="22" t="s">
        <v>43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29</v>
      </c>
      <c r="C4" s="6" t="s">
        <v>30</v>
      </c>
      <c r="D4" s="6" t="s">
        <v>31</v>
      </c>
      <c r="E4" s="6" t="s">
        <v>32</v>
      </c>
      <c r="F4" s="6" t="s">
        <v>33</v>
      </c>
      <c r="G4" s="6" t="s">
        <v>34</v>
      </c>
      <c r="H4" s="6" t="s">
        <v>35</v>
      </c>
      <c r="I4" s="6" t="s">
        <v>36</v>
      </c>
      <c r="J4" s="6" t="s">
        <v>37</v>
      </c>
      <c r="K4" s="6" t="s">
        <v>38</v>
      </c>
      <c r="L4" s="6" t="s">
        <v>39</v>
      </c>
      <c r="M4" s="6" t="s">
        <v>40</v>
      </c>
      <c r="N4" s="6" t="s">
        <v>41</v>
      </c>
    </row>
    <row r="5" spans="1:18" ht="23.25" customHeight="1" thickBot="1" x14ac:dyDescent="0.3">
      <c r="A5" s="7" t="s">
        <v>15</v>
      </c>
      <c r="B5" s="8">
        <v>-220228.03</v>
      </c>
      <c r="C5" s="8">
        <f t="shared" ref="C5:D6" si="0">B40</f>
        <v>-214574.03505000001</v>
      </c>
      <c r="D5" s="8">
        <f t="shared" si="0"/>
        <v>-209858.86681000001</v>
      </c>
      <c r="E5" s="8">
        <f t="shared" ref="E5:E6" si="1">D40</f>
        <v>-204326.72252000001</v>
      </c>
      <c r="F5" s="8">
        <f t="shared" ref="F5:F6" si="2">E40</f>
        <v>-221762.45238999999</v>
      </c>
      <c r="G5" s="8">
        <f t="shared" ref="G5:G6" si="3">F40</f>
        <v>-249248.78761</v>
      </c>
      <c r="H5" s="8">
        <f t="shared" ref="H5:H6" si="4">G40</f>
        <v>-249672.80531999998</v>
      </c>
      <c r="I5" s="8">
        <f t="shared" ref="I5:I6" si="5">H40</f>
        <v>-249941.02367999998</v>
      </c>
      <c r="J5" s="8">
        <f t="shared" ref="J5:J6" si="6">I40</f>
        <v>-234143.31923999998</v>
      </c>
      <c r="K5" s="8">
        <f t="shared" ref="K5:K6" si="7">J40</f>
        <v>-231844.88529999999</v>
      </c>
      <c r="L5" s="8">
        <f t="shared" ref="L5:L6" si="8">K40</f>
        <v>-230305.47649999999</v>
      </c>
      <c r="M5" s="8">
        <f t="shared" ref="M5:M6" si="9">L40</f>
        <v>-223766.43964</v>
      </c>
      <c r="N5" s="8">
        <f>B5</f>
        <v>-220228.03</v>
      </c>
    </row>
    <row r="6" spans="1:18" ht="21" customHeight="1" thickBot="1" x14ac:dyDescent="0.3">
      <c r="A6" s="7" t="s">
        <v>13</v>
      </c>
      <c r="B6" s="8">
        <v>-108108.32</v>
      </c>
      <c r="C6" s="8">
        <f t="shared" si="0"/>
        <v>-109199.01000000001</v>
      </c>
      <c r="D6" s="8">
        <f t="shared" si="0"/>
        <v>-112970.79000000001</v>
      </c>
      <c r="E6" s="8">
        <f t="shared" si="1"/>
        <v>-113806.36000000002</v>
      </c>
      <c r="F6" s="8">
        <f t="shared" si="2"/>
        <v>-116903.67999999999</v>
      </c>
      <c r="G6" s="8">
        <f t="shared" si="3"/>
        <v>-117838.82999999999</v>
      </c>
      <c r="H6" s="8">
        <f t="shared" si="4"/>
        <v>-121879.53</v>
      </c>
      <c r="I6" s="8">
        <f t="shared" si="5"/>
        <v>-123067.33</v>
      </c>
      <c r="J6" s="8">
        <f t="shared" si="6"/>
        <v>-112258.39</v>
      </c>
      <c r="K6" s="8">
        <f t="shared" si="7"/>
        <v>-112652.59999999999</v>
      </c>
      <c r="L6" s="8">
        <f t="shared" si="8"/>
        <v>-114291.49999999999</v>
      </c>
      <c r="M6" s="8">
        <f t="shared" si="9"/>
        <v>-115055.18999999997</v>
      </c>
      <c r="N6" s="8">
        <f>B6</f>
        <v>-108108.32</v>
      </c>
    </row>
    <row r="7" spans="1:18" ht="20.25" customHeight="1" thickBot="1" x14ac:dyDescent="0.3">
      <c r="A7" s="9" t="s">
        <v>12</v>
      </c>
      <c r="B7" s="10">
        <f t="shared" ref="B7:M7" si="10">SUM(B8:B14)</f>
        <v>32242.75</v>
      </c>
      <c r="C7" s="10">
        <f t="shared" si="10"/>
        <v>32339.719999999998</v>
      </c>
      <c r="D7" s="10">
        <f t="shared" si="10"/>
        <v>31414.769999999997</v>
      </c>
      <c r="E7" s="10">
        <f t="shared" si="10"/>
        <v>32349.989999999998</v>
      </c>
      <c r="F7" s="10">
        <f t="shared" si="10"/>
        <v>30149.239999999998</v>
      </c>
      <c r="G7" s="10">
        <f t="shared" si="10"/>
        <v>31595.07</v>
      </c>
      <c r="H7" s="10">
        <f t="shared" si="10"/>
        <v>30152.12</v>
      </c>
      <c r="I7" s="10">
        <f t="shared" si="10"/>
        <v>30977.119999999999</v>
      </c>
      <c r="J7" s="10">
        <f t="shared" si="10"/>
        <v>30152.12</v>
      </c>
      <c r="K7" s="10">
        <f t="shared" si="10"/>
        <v>30979.399999999998</v>
      </c>
      <c r="L7" s="10">
        <f t="shared" si="10"/>
        <v>32143.279999999999</v>
      </c>
      <c r="M7" s="10">
        <f t="shared" si="10"/>
        <v>32239.039999999997</v>
      </c>
      <c r="N7" s="10">
        <f>SUM(B7:M7)</f>
        <v>376734.61999999994</v>
      </c>
    </row>
    <row r="8" spans="1:18" ht="24.75" customHeight="1" thickBot="1" x14ac:dyDescent="0.3">
      <c r="A8" s="4" t="s">
        <v>27</v>
      </c>
      <c r="B8" s="11">
        <f t="shared" ref="B8:G8" si="11">23929.83+444.3+1210.3</f>
        <v>25584.43</v>
      </c>
      <c r="C8" s="11">
        <f t="shared" si="11"/>
        <v>25584.43</v>
      </c>
      <c r="D8" s="11">
        <f t="shared" si="11"/>
        <v>25584.43</v>
      </c>
      <c r="E8" s="11">
        <f t="shared" si="11"/>
        <v>25584.43</v>
      </c>
      <c r="F8" s="11">
        <f t="shared" si="11"/>
        <v>25584.43</v>
      </c>
      <c r="G8" s="11">
        <f t="shared" si="11"/>
        <v>25584.43</v>
      </c>
      <c r="H8" s="11">
        <f>23929.83+444.3+1210.3</f>
        <v>25584.43</v>
      </c>
      <c r="I8" s="11">
        <f>23929.83+444.3+1210.3</f>
        <v>25584.43</v>
      </c>
      <c r="J8" s="11">
        <f>23929.83+444.3+1210.3</f>
        <v>25584.43</v>
      </c>
      <c r="K8" s="11">
        <f>25875.5+444.3+1210.3</f>
        <v>27530.1</v>
      </c>
      <c r="L8" s="11">
        <f>25875.5+444.3+1210.3</f>
        <v>27530.1</v>
      </c>
      <c r="M8" s="11">
        <f>25875.5+444.3+1210.3</f>
        <v>27530.1</v>
      </c>
      <c r="N8" s="11">
        <f>SUM(B8:M8)</f>
        <v>312850.16999999993</v>
      </c>
    </row>
    <row r="9" spans="1:18" ht="24.75" customHeight="1" thickBot="1" x14ac:dyDescent="0.3">
      <c r="A9" s="4" t="s">
        <v>16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1445.83</v>
      </c>
      <c r="H9" s="11">
        <v>0</v>
      </c>
      <c r="I9" s="11">
        <v>825</v>
      </c>
      <c r="J9" s="11">
        <v>0</v>
      </c>
      <c r="K9" s="11">
        <v>3360.97</v>
      </c>
      <c r="L9" s="11">
        <v>45.49</v>
      </c>
      <c r="M9" s="11">
        <v>141.25</v>
      </c>
      <c r="N9" s="11">
        <f t="shared" ref="N9:N14" si="12">SUM(B9:M9)</f>
        <v>5818.5399999999991</v>
      </c>
    </row>
    <row r="10" spans="1:18" ht="24.75" customHeight="1" thickBot="1" x14ac:dyDescent="0.3">
      <c r="A10" s="4" t="s">
        <v>17</v>
      </c>
      <c r="B10" s="11">
        <v>0</v>
      </c>
      <c r="C10" s="11">
        <v>320.07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-4479.3599999999997</v>
      </c>
      <c r="L10" s="11">
        <v>0</v>
      </c>
      <c r="M10" s="11">
        <v>0</v>
      </c>
      <c r="N10" s="11">
        <f t="shared" si="12"/>
        <v>-4159.29</v>
      </c>
    </row>
    <row r="11" spans="1:18" ht="24.75" customHeight="1" thickBot="1" x14ac:dyDescent="0.3">
      <c r="A11" s="4" t="s">
        <v>18</v>
      </c>
      <c r="B11" s="11">
        <v>2093.5100000000002</v>
      </c>
      <c r="C11" s="11">
        <v>1870.41</v>
      </c>
      <c r="D11" s="11">
        <v>1265.53</v>
      </c>
      <c r="E11" s="11">
        <v>2200.75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f t="shared" si="12"/>
        <v>7430.2</v>
      </c>
    </row>
    <row r="12" spans="1:18" ht="24.75" customHeight="1" thickBot="1" x14ac:dyDescent="0.3">
      <c r="A12" s="4" t="s">
        <v>26</v>
      </c>
      <c r="B12" s="11">
        <v>163.21</v>
      </c>
      <c r="C12" s="11">
        <v>163.21</v>
      </c>
      <c r="D12" s="11">
        <v>163.21</v>
      </c>
      <c r="E12" s="11">
        <v>163.21</v>
      </c>
      <c r="F12" s="11">
        <v>163.21</v>
      </c>
      <c r="G12" s="11">
        <v>163.21</v>
      </c>
      <c r="H12" s="11">
        <v>166.09</v>
      </c>
      <c r="I12" s="11">
        <v>166.09</v>
      </c>
      <c r="J12" s="11">
        <v>166.09</v>
      </c>
      <c r="K12" s="11">
        <v>166.09</v>
      </c>
      <c r="L12" s="11">
        <v>166.09</v>
      </c>
      <c r="M12" s="11">
        <v>166.09</v>
      </c>
      <c r="N12" s="11">
        <f t="shared" si="12"/>
        <v>1975.7999999999997</v>
      </c>
    </row>
    <row r="13" spans="1:18" ht="24.75" customHeight="1" thickBot="1" x14ac:dyDescent="0.3">
      <c r="A13" s="4" t="s">
        <v>25</v>
      </c>
      <c r="B13" s="11">
        <v>3801.6</v>
      </c>
      <c r="C13" s="11">
        <v>3801.6</v>
      </c>
      <c r="D13" s="11">
        <v>3801.6</v>
      </c>
      <c r="E13" s="11">
        <v>3801.6</v>
      </c>
      <c r="F13" s="11">
        <v>3801.6</v>
      </c>
      <c r="G13" s="11">
        <v>3801.6</v>
      </c>
      <c r="H13" s="11">
        <v>3801.6</v>
      </c>
      <c r="I13" s="11">
        <v>3801.6</v>
      </c>
      <c r="J13" s="11">
        <v>3801.6</v>
      </c>
      <c r="K13" s="11">
        <v>3801.6</v>
      </c>
      <c r="L13" s="11">
        <v>3801.6</v>
      </c>
      <c r="M13" s="11">
        <v>3801.6</v>
      </c>
      <c r="N13" s="11">
        <f t="shared" si="12"/>
        <v>45619.19999999999</v>
      </c>
    </row>
    <row r="14" spans="1:18" ht="24.75" customHeight="1" thickBot="1" x14ac:dyDescent="0.3">
      <c r="A14" s="4" t="s">
        <v>14</v>
      </c>
      <c r="B14" s="11">
        <v>600</v>
      </c>
      <c r="C14" s="11">
        <v>600</v>
      </c>
      <c r="D14" s="11">
        <v>600</v>
      </c>
      <c r="E14" s="11">
        <v>600</v>
      </c>
      <c r="F14" s="11">
        <v>600</v>
      </c>
      <c r="G14" s="11">
        <v>600</v>
      </c>
      <c r="H14" s="11">
        <v>600</v>
      </c>
      <c r="I14" s="11">
        <v>600</v>
      </c>
      <c r="J14" s="11">
        <v>600</v>
      </c>
      <c r="K14" s="11">
        <v>600</v>
      </c>
      <c r="L14" s="11">
        <v>600</v>
      </c>
      <c r="M14" s="11">
        <v>600</v>
      </c>
      <c r="N14" s="11">
        <f t="shared" si="12"/>
        <v>7200</v>
      </c>
    </row>
    <row r="15" spans="1:18" ht="20.25" customHeight="1" thickBot="1" x14ac:dyDescent="0.3">
      <c r="A15" s="12" t="s">
        <v>8</v>
      </c>
      <c r="B15" s="13">
        <f t="shared" ref="B15:M15" si="13">SUM(B16:B22)</f>
        <v>31152.06</v>
      </c>
      <c r="C15" s="13">
        <f t="shared" si="13"/>
        <v>28567.94</v>
      </c>
      <c r="D15" s="13">
        <f t="shared" si="13"/>
        <v>30579.200000000001</v>
      </c>
      <c r="E15" s="13">
        <f t="shared" si="13"/>
        <v>29252.670000000006</v>
      </c>
      <c r="F15" s="13">
        <f t="shared" si="13"/>
        <v>29214.089999999993</v>
      </c>
      <c r="G15" s="13">
        <f t="shared" si="13"/>
        <v>27554.37</v>
      </c>
      <c r="H15" s="13">
        <f t="shared" si="13"/>
        <v>28964.319999999992</v>
      </c>
      <c r="I15" s="13">
        <f t="shared" si="13"/>
        <v>41786.06</v>
      </c>
      <c r="J15" s="13">
        <f t="shared" si="13"/>
        <v>29757.91</v>
      </c>
      <c r="K15" s="13">
        <f t="shared" si="13"/>
        <v>29340.5</v>
      </c>
      <c r="L15" s="13">
        <f t="shared" si="13"/>
        <v>31379.590000000004</v>
      </c>
      <c r="M15" s="13">
        <f t="shared" si="13"/>
        <v>30492.940000000002</v>
      </c>
      <c r="N15" s="13">
        <f>SUM(B15:M15)</f>
        <v>368041.64999999997</v>
      </c>
    </row>
    <row r="16" spans="1:18" ht="24" customHeight="1" thickBot="1" x14ac:dyDescent="0.3">
      <c r="A16" s="4" t="s">
        <v>28</v>
      </c>
      <c r="B16" s="11">
        <f>23494.34+396.34+1080.19</f>
        <v>24970.87</v>
      </c>
      <c r="C16" s="11">
        <f>21525.75+393.1-343.32+1072.52</f>
        <v>22648.05</v>
      </c>
      <c r="D16" s="11">
        <f>22543.03+424.28+1156.47</f>
        <v>24123.78</v>
      </c>
      <c r="E16" s="11">
        <f>22363.7+416.49+1131.62</f>
        <v>23911.81</v>
      </c>
      <c r="F16" s="11">
        <f>22070.03+402.23+1097.83</f>
        <v>23570.089999999997</v>
      </c>
      <c r="G16" s="11">
        <f>21327.27+402.84+1097.17</f>
        <v>22827.279999999999</v>
      </c>
      <c r="H16" s="11">
        <f>22159.6+412.63+0.1+1120.6</f>
        <v>23692.929999999997</v>
      </c>
      <c r="I16" s="11">
        <f>32059.26+486.39+1329.62</f>
        <v>33875.269999999997</v>
      </c>
      <c r="J16" s="11">
        <f>23060.76+428.93+1166.87</f>
        <v>24656.559999999998</v>
      </c>
      <c r="K16" s="11">
        <f>22508.31+417.43+1138.43</f>
        <v>24064.170000000002</v>
      </c>
      <c r="L16" s="11">
        <f>22915.56+394.44+1072.33</f>
        <v>24382.33</v>
      </c>
      <c r="M16" s="11">
        <f>24338.12+416.95+1138.2</f>
        <v>25893.27</v>
      </c>
      <c r="N16" s="11">
        <f>SUM(B16:M16)</f>
        <v>298616.41000000003</v>
      </c>
    </row>
    <row r="17" spans="1:15" ht="26.25" customHeight="1" thickBot="1" x14ac:dyDescent="0.3">
      <c r="A17" s="4" t="s">
        <v>16</v>
      </c>
      <c r="B17" s="11">
        <v>1297.47</v>
      </c>
      <c r="C17" s="11">
        <v>54.97</v>
      </c>
      <c r="D17" s="11">
        <v>11.73</v>
      </c>
      <c r="E17" s="11">
        <v>0</v>
      </c>
      <c r="F17" s="11">
        <v>11.67</v>
      </c>
      <c r="G17" s="11">
        <v>0</v>
      </c>
      <c r="H17" s="11">
        <v>1226.93</v>
      </c>
      <c r="I17" s="11">
        <v>134.66999999999999</v>
      </c>
      <c r="J17" s="11">
        <v>770.08</v>
      </c>
      <c r="K17" s="11">
        <v>22.68</v>
      </c>
      <c r="L17" s="11">
        <v>2976.64</v>
      </c>
      <c r="M17" s="11">
        <v>133.86000000000001</v>
      </c>
      <c r="N17" s="11">
        <f t="shared" ref="N17:N22" si="14">SUM(B17:M17)</f>
        <v>6640.7</v>
      </c>
    </row>
    <row r="18" spans="1:15" ht="26.25" customHeight="1" thickBot="1" x14ac:dyDescent="0.3">
      <c r="A18" s="4" t="s">
        <v>17</v>
      </c>
      <c r="B18" s="11">
        <v>47.88</v>
      </c>
      <c r="C18" s="11">
        <v>0</v>
      </c>
      <c r="D18" s="11">
        <v>278.87</v>
      </c>
      <c r="E18" s="11">
        <v>9.08</v>
      </c>
      <c r="F18" s="11">
        <v>4.46</v>
      </c>
      <c r="G18" s="11">
        <v>0</v>
      </c>
      <c r="H18" s="11">
        <v>0</v>
      </c>
      <c r="I18" s="11">
        <v>107.34</v>
      </c>
      <c r="J18" s="11">
        <v>0</v>
      </c>
      <c r="K18" s="11">
        <v>0</v>
      </c>
      <c r="L18" s="11">
        <v>0</v>
      </c>
      <c r="M18" s="11">
        <v>0</v>
      </c>
      <c r="N18" s="11">
        <f t="shared" si="14"/>
        <v>447.63</v>
      </c>
    </row>
    <row r="19" spans="1:15" ht="26.25" customHeight="1" thickBot="1" x14ac:dyDescent="0.3">
      <c r="A19" s="4" t="s">
        <v>18</v>
      </c>
      <c r="B19" s="11">
        <v>801.27</v>
      </c>
      <c r="C19" s="11">
        <v>1791.63</v>
      </c>
      <c r="D19" s="11">
        <v>1790.33</v>
      </c>
      <c r="E19" s="11">
        <v>1201.1300000000001</v>
      </c>
      <c r="F19" s="11">
        <v>1604.14</v>
      </c>
      <c r="G19" s="11">
        <v>467.46</v>
      </c>
      <c r="H19" s="11">
        <v>0.03</v>
      </c>
      <c r="I19" s="11">
        <v>424.97</v>
      </c>
      <c r="J19" s="11">
        <v>0</v>
      </c>
      <c r="K19" s="11">
        <v>0</v>
      </c>
      <c r="L19" s="11">
        <v>0</v>
      </c>
      <c r="M19" s="11">
        <v>0</v>
      </c>
      <c r="N19" s="11">
        <f t="shared" si="14"/>
        <v>8080.96</v>
      </c>
    </row>
    <row r="20" spans="1:15" ht="26.25" customHeight="1" thickBot="1" x14ac:dyDescent="0.3">
      <c r="A20" s="4" t="s">
        <v>26</v>
      </c>
      <c r="B20" s="11">
        <v>160.94999999999999</v>
      </c>
      <c r="C20" s="11">
        <v>144.44</v>
      </c>
      <c r="D20" s="11">
        <v>156.09</v>
      </c>
      <c r="E20" s="11">
        <v>151.18</v>
      </c>
      <c r="F20" s="11">
        <v>122.71</v>
      </c>
      <c r="G20" s="11">
        <v>174.59</v>
      </c>
      <c r="H20" s="11">
        <v>151.1</v>
      </c>
      <c r="I20" s="11">
        <v>222.73</v>
      </c>
      <c r="J20" s="11">
        <v>160.08000000000001</v>
      </c>
      <c r="K20" s="11">
        <v>156.22999999999999</v>
      </c>
      <c r="L20" s="11">
        <v>147.08000000000001</v>
      </c>
      <c r="M20" s="11">
        <v>156.22</v>
      </c>
      <c r="N20" s="11">
        <f t="shared" si="14"/>
        <v>1903.4</v>
      </c>
    </row>
    <row r="21" spans="1:15" ht="26.25" customHeight="1" thickBot="1" x14ac:dyDescent="0.3">
      <c r="A21" s="4" t="s">
        <v>25</v>
      </c>
      <c r="B21" s="11">
        <v>3273.62</v>
      </c>
      <c r="C21" s="11">
        <v>3328.85</v>
      </c>
      <c r="D21" s="11">
        <v>3618.4</v>
      </c>
      <c r="E21" s="11">
        <v>3379.47</v>
      </c>
      <c r="F21" s="11">
        <v>3301.02</v>
      </c>
      <c r="G21" s="11">
        <v>3485.04</v>
      </c>
      <c r="H21" s="11">
        <v>3293.33</v>
      </c>
      <c r="I21" s="11">
        <v>6421.08</v>
      </c>
      <c r="J21" s="11">
        <v>3571.19</v>
      </c>
      <c r="K21" s="11">
        <v>4497.42</v>
      </c>
      <c r="L21" s="11">
        <v>3273.54</v>
      </c>
      <c r="M21" s="11">
        <v>3709.59</v>
      </c>
      <c r="N21" s="11">
        <f t="shared" si="14"/>
        <v>45152.55</v>
      </c>
    </row>
    <row r="22" spans="1:15" ht="26.25" customHeight="1" thickBot="1" x14ac:dyDescent="0.3">
      <c r="A22" s="4" t="s">
        <v>14</v>
      </c>
      <c r="B22" s="14">
        <v>600</v>
      </c>
      <c r="C22" s="14">
        <v>600</v>
      </c>
      <c r="D22" s="14">
        <v>600</v>
      </c>
      <c r="E22" s="14">
        <v>600</v>
      </c>
      <c r="F22" s="14">
        <v>600</v>
      </c>
      <c r="G22" s="14">
        <v>600</v>
      </c>
      <c r="H22" s="14">
        <v>600</v>
      </c>
      <c r="I22" s="14">
        <v>600</v>
      </c>
      <c r="J22" s="14">
        <v>600</v>
      </c>
      <c r="K22" s="14">
        <v>600</v>
      </c>
      <c r="L22" s="14">
        <v>600</v>
      </c>
      <c r="M22" s="14">
        <v>600</v>
      </c>
      <c r="N22" s="11">
        <f t="shared" si="14"/>
        <v>7200</v>
      </c>
      <c r="O22" s="3"/>
    </row>
    <row r="23" spans="1:15" ht="21.75" customHeight="1" thickBot="1" x14ac:dyDescent="0.3">
      <c r="A23" s="15" t="s">
        <v>23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7"/>
    </row>
    <row r="24" spans="1:15" ht="19.5" customHeight="1" thickBot="1" x14ac:dyDescent="0.3">
      <c r="A24" s="4" t="s">
        <v>1</v>
      </c>
      <c r="B24" s="11">
        <f t="shared" ref="B24:C24" si="15">1532*0.55</f>
        <v>842.6</v>
      </c>
      <c r="C24" s="11">
        <f t="shared" si="15"/>
        <v>842.6</v>
      </c>
      <c r="D24" s="11">
        <f>1532*0.55</f>
        <v>842.6</v>
      </c>
      <c r="E24" s="11">
        <f t="shared" ref="E24:M24" si="16">1532*0.55</f>
        <v>842.6</v>
      </c>
      <c r="F24" s="11">
        <f t="shared" si="16"/>
        <v>842.6</v>
      </c>
      <c r="G24" s="11">
        <f t="shared" si="16"/>
        <v>842.6</v>
      </c>
      <c r="H24" s="11">
        <f t="shared" si="16"/>
        <v>842.6</v>
      </c>
      <c r="I24" s="11">
        <f t="shared" si="16"/>
        <v>842.6</v>
      </c>
      <c r="J24" s="11">
        <f t="shared" si="16"/>
        <v>842.6</v>
      </c>
      <c r="K24" s="11">
        <f t="shared" si="16"/>
        <v>842.6</v>
      </c>
      <c r="L24" s="11">
        <f t="shared" si="16"/>
        <v>842.6</v>
      </c>
      <c r="M24" s="11">
        <f t="shared" si="16"/>
        <v>842.6</v>
      </c>
      <c r="N24" s="11">
        <f>SUM(B24:M24)</f>
        <v>10111.200000000003</v>
      </c>
    </row>
    <row r="25" spans="1:15" ht="22.5" customHeight="1" thickBot="1" x14ac:dyDescent="0.3">
      <c r="A25" s="4" t="s">
        <v>2</v>
      </c>
      <c r="B25" s="11">
        <v>260.44</v>
      </c>
      <c r="C25" s="11">
        <v>260.44</v>
      </c>
      <c r="D25" s="11">
        <v>260.44</v>
      </c>
      <c r="E25" s="11">
        <v>261.44</v>
      </c>
      <c r="F25" s="11">
        <v>262.44</v>
      </c>
      <c r="G25" s="11">
        <v>263.44</v>
      </c>
      <c r="H25" s="11">
        <v>263.44</v>
      </c>
      <c r="I25" s="11">
        <v>263.44</v>
      </c>
      <c r="J25" s="11">
        <v>263.44</v>
      </c>
      <c r="K25" s="11">
        <v>263.44</v>
      </c>
      <c r="L25" s="11">
        <v>263.44</v>
      </c>
      <c r="M25" s="11">
        <v>263.44</v>
      </c>
      <c r="N25" s="11">
        <f t="shared" ref="N25:N37" si="17">SUM(B25:M25)</f>
        <v>3149.28</v>
      </c>
    </row>
    <row r="26" spans="1:15" ht="21" customHeight="1" thickBot="1" x14ac:dyDescent="0.3">
      <c r="A26" s="4" t="s">
        <v>3</v>
      </c>
      <c r="B26" s="11">
        <f>31642.75*2.3%</f>
        <v>727.78324999999995</v>
      </c>
      <c r="C26" s="11">
        <f>31739.72*2.3%</f>
        <v>730.01355999999998</v>
      </c>
      <c r="D26" s="11">
        <f>30814.77*2.3%</f>
        <v>708.73970999999995</v>
      </c>
      <c r="E26" s="11">
        <f>31749.99*2.3%</f>
        <v>730.24977000000001</v>
      </c>
      <c r="F26" s="11">
        <f>29549.24*2.3%</f>
        <v>679.63252</v>
      </c>
      <c r="G26" s="11">
        <f>30995.07*2.3%</f>
        <v>712.88661000000002</v>
      </c>
      <c r="H26" s="11">
        <f>29552.12*2.3%</f>
        <v>679.69875999999999</v>
      </c>
      <c r="I26" s="11">
        <f>30377.12*2.3%</f>
        <v>698.67376000000002</v>
      </c>
      <c r="J26" s="11">
        <f>29552.12*2.3%</f>
        <v>679.69875999999999</v>
      </c>
      <c r="K26" s="11">
        <f>30379.4*2.3%</f>
        <v>698.72620000000006</v>
      </c>
      <c r="L26" s="11">
        <f>31543.28*2.3%</f>
        <v>725.49543999999992</v>
      </c>
      <c r="M26" s="11">
        <f>31639.04*2.3%</f>
        <v>727.69791999999995</v>
      </c>
      <c r="N26" s="11">
        <f t="shared" si="17"/>
        <v>8499.2962599999992</v>
      </c>
    </row>
    <row r="27" spans="1:15" ht="23.25" customHeight="1" thickBot="1" x14ac:dyDescent="0.3">
      <c r="A27" s="4" t="s">
        <v>4</v>
      </c>
      <c r="B27" s="11">
        <f>30552.06*3%</f>
        <v>916.56180000000006</v>
      </c>
      <c r="C27" s="11">
        <f>27967.94*3%</f>
        <v>839.03819999999996</v>
      </c>
      <c r="D27" s="11">
        <f>29979.2*3%</f>
        <v>899.37599999999998</v>
      </c>
      <c r="E27" s="11">
        <f>28652.67*3%</f>
        <v>859.5800999999999</v>
      </c>
      <c r="F27" s="11">
        <f>28614.09*3%</f>
        <v>858.42269999999996</v>
      </c>
      <c r="G27" s="11">
        <f>26954.37*3%</f>
        <v>808.63109999999995</v>
      </c>
      <c r="H27" s="11">
        <f>28364.32*3%</f>
        <v>850.92959999999994</v>
      </c>
      <c r="I27" s="11">
        <f>41186.06*3%</f>
        <v>1235.5817999999999</v>
      </c>
      <c r="J27" s="11">
        <f>29157.91*3%</f>
        <v>874.7373</v>
      </c>
      <c r="K27" s="11">
        <f>28740.5*3%</f>
        <v>862.21499999999992</v>
      </c>
      <c r="L27" s="11">
        <f>30779.59*3%</f>
        <v>923.3877</v>
      </c>
      <c r="M27" s="11">
        <f>29892.94*3%</f>
        <v>896.78819999999996</v>
      </c>
      <c r="N27" s="11">
        <f t="shared" si="17"/>
        <v>10825.249499999998</v>
      </c>
    </row>
    <row r="28" spans="1:15" ht="23.25" customHeight="1" thickBot="1" x14ac:dyDescent="0.3">
      <c r="A28" s="4" t="s">
        <v>9</v>
      </c>
      <c r="B28" s="11">
        <f>1532*7.4</f>
        <v>11336.800000000001</v>
      </c>
      <c r="C28" s="11">
        <f t="shared" ref="C28:J28" si="18">1532*7.4</f>
        <v>11336.800000000001</v>
      </c>
      <c r="D28" s="11">
        <f t="shared" si="18"/>
        <v>11336.800000000001</v>
      </c>
      <c r="E28" s="11">
        <f t="shared" si="18"/>
        <v>11336.800000000001</v>
      </c>
      <c r="F28" s="11">
        <f t="shared" si="18"/>
        <v>11336.800000000001</v>
      </c>
      <c r="G28" s="11">
        <f t="shared" si="18"/>
        <v>11336.800000000001</v>
      </c>
      <c r="H28" s="11">
        <f t="shared" si="18"/>
        <v>11336.800000000001</v>
      </c>
      <c r="I28" s="11">
        <f t="shared" si="18"/>
        <v>11336.800000000001</v>
      </c>
      <c r="J28" s="11">
        <f t="shared" si="18"/>
        <v>11336.800000000001</v>
      </c>
      <c r="K28" s="11">
        <f>1532*8.5</f>
        <v>13022</v>
      </c>
      <c r="L28" s="11">
        <f t="shared" ref="L28:M28" si="19">1532*8.5</f>
        <v>13022</v>
      </c>
      <c r="M28" s="11">
        <f t="shared" si="19"/>
        <v>13022</v>
      </c>
      <c r="N28" s="11">
        <f t="shared" si="17"/>
        <v>141097.20000000001</v>
      </c>
    </row>
    <row r="29" spans="1:15" ht="26.25" customHeight="1" thickBot="1" x14ac:dyDescent="0.3">
      <c r="A29" s="4" t="s">
        <v>19</v>
      </c>
      <c r="B29" s="11">
        <v>0</v>
      </c>
      <c r="C29" s="11">
        <v>0</v>
      </c>
      <c r="D29" s="11">
        <v>0</v>
      </c>
      <c r="E29" s="11">
        <v>0</v>
      </c>
      <c r="F29" s="11">
        <f>1272.76+173.04</f>
        <v>1445.8</v>
      </c>
      <c r="G29" s="11">
        <v>0</v>
      </c>
      <c r="H29" s="11">
        <f>824.51+0</f>
        <v>824.51</v>
      </c>
      <c r="I29" s="11">
        <v>0</v>
      </c>
      <c r="J29" s="11">
        <f>2949.48+411.46</f>
        <v>3360.94</v>
      </c>
      <c r="K29" s="11">
        <f>39.89+5.58</f>
        <v>45.47</v>
      </c>
      <c r="L29" s="11">
        <f>130.25+11.04</f>
        <v>141.29</v>
      </c>
      <c r="M29" s="11">
        <f>90.68+12.29</f>
        <v>102.97</v>
      </c>
      <c r="N29" s="11">
        <f t="shared" si="17"/>
        <v>5920.9800000000005</v>
      </c>
    </row>
    <row r="30" spans="1:15" ht="26.25" customHeight="1" thickBot="1" x14ac:dyDescent="0.3">
      <c r="A30" s="4" t="s">
        <v>20</v>
      </c>
      <c r="B30" s="11">
        <v>320.11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f t="shared" si="17"/>
        <v>320.11</v>
      </c>
    </row>
    <row r="31" spans="1:15" ht="26.25" customHeight="1" thickBot="1" x14ac:dyDescent="0.3">
      <c r="A31" s="4" t="s">
        <v>21</v>
      </c>
      <c r="B31" s="11">
        <v>1870.44</v>
      </c>
      <c r="C31" s="11">
        <v>1265.55</v>
      </c>
      <c r="D31" s="11">
        <v>2200.77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540</v>
      </c>
      <c r="N31" s="11">
        <f t="shared" si="17"/>
        <v>5876.76</v>
      </c>
    </row>
    <row r="32" spans="1:15" ht="26.25" customHeight="1" thickBot="1" x14ac:dyDescent="0.3">
      <c r="A32" s="4" t="s">
        <v>26</v>
      </c>
      <c r="B32" s="11">
        <v>163.22</v>
      </c>
      <c r="C32" s="11">
        <v>163.22</v>
      </c>
      <c r="D32" s="11">
        <v>163.22</v>
      </c>
      <c r="E32" s="11">
        <v>163.22</v>
      </c>
      <c r="F32" s="11">
        <v>163.22</v>
      </c>
      <c r="G32" s="11">
        <v>163.22</v>
      </c>
      <c r="H32" s="11">
        <v>166.15</v>
      </c>
      <c r="I32" s="11">
        <v>166.15</v>
      </c>
      <c r="J32" s="11">
        <v>166.15</v>
      </c>
      <c r="K32" s="11">
        <v>166.15</v>
      </c>
      <c r="L32" s="11">
        <v>166.15</v>
      </c>
      <c r="M32" s="11">
        <v>166.15</v>
      </c>
      <c r="N32" s="11">
        <f t="shared" si="17"/>
        <v>1976.2200000000005</v>
      </c>
    </row>
    <row r="33" spans="1:14" ht="22.5" customHeight="1" thickBot="1" x14ac:dyDescent="0.3">
      <c r="A33" s="4" t="s">
        <v>6</v>
      </c>
      <c r="B33" s="11">
        <f>1532*2.34</f>
        <v>3584.8799999999997</v>
      </c>
      <c r="C33" s="11">
        <f t="shared" ref="C33:J33" si="20">1532*2.34</f>
        <v>3584.8799999999997</v>
      </c>
      <c r="D33" s="11">
        <f t="shared" si="20"/>
        <v>3584.8799999999997</v>
      </c>
      <c r="E33" s="11">
        <f t="shared" si="20"/>
        <v>3584.8799999999997</v>
      </c>
      <c r="F33" s="11">
        <f t="shared" si="20"/>
        <v>3584.8799999999997</v>
      </c>
      <c r="G33" s="11">
        <f t="shared" si="20"/>
        <v>3584.8799999999997</v>
      </c>
      <c r="H33" s="11">
        <f t="shared" si="20"/>
        <v>3584.8799999999997</v>
      </c>
      <c r="I33" s="11">
        <f t="shared" si="20"/>
        <v>3584.8799999999997</v>
      </c>
      <c r="J33" s="11">
        <f t="shared" si="20"/>
        <v>3584.8799999999997</v>
      </c>
      <c r="K33" s="11">
        <f>1532*2.53</f>
        <v>3875.9599999999996</v>
      </c>
      <c r="L33" s="11">
        <f t="shared" ref="L33:M33" si="21">1532*2.53</f>
        <v>3875.9599999999996</v>
      </c>
      <c r="M33" s="11">
        <f t="shared" si="21"/>
        <v>3875.9599999999996</v>
      </c>
      <c r="N33" s="11">
        <f t="shared" si="17"/>
        <v>43891.8</v>
      </c>
    </row>
    <row r="34" spans="1:14" ht="22.5" customHeight="1" thickBot="1" x14ac:dyDescent="0.3">
      <c r="A34" s="4" t="s">
        <v>24</v>
      </c>
      <c r="B34" s="11">
        <v>1560</v>
      </c>
      <c r="C34" s="11">
        <f t="shared" ref="C34:H34" si="22">1140+420</f>
        <v>1560</v>
      </c>
      <c r="D34" s="11">
        <f t="shared" si="22"/>
        <v>1560</v>
      </c>
      <c r="E34" s="11">
        <f t="shared" si="22"/>
        <v>1560</v>
      </c>
      <c r="F34" s="11">
        <f t="shared" si="22"/>
        <v>1560</v>
      </c>
      <c r="G34" s="11">
        <f t="shared" si="22"/>
        <v>1560</v>
      </c>
      <c r="H34" s="11">
        <f t="shared" si="22"/>
        <v>1560</v>
      </c>
      <c r="I34" s="11">
        <f>1140+420</f>
        <v>1560</v>
      </c>
      <c r="J34" s="11">
        <f>1140+420</f>
        <v>1560</v>
      </c>
      <c r="K34" s="11">
        <f>1140+420</f>
        <v>1560</v>
      </c>
      <c r="L34" s="11">
        <f>1140+420</f>
        <v>1560</v>
      </c>
      <c r="M34" s="11">
        <f>1140+420</f>
        <v>1560</v>
      </c>
      <c r="N34" s="11">
        <f t="shared" si="17"/>
        <v>18720</v>
      </c>
    </row>
    <row r="35" spans="1:14" ht="21.75" customHeight="1" thickBot="1" x14ac:dyDescent="0.3">
      <c r="A35" s="4" t="s">
        <v>25</v>
      </c>
      <c r="B35" s="11">
        <v>3695</v>
      </c>
      <c r="C35" s="11">
        <v>3050</v>
      </c>
      <c r="D35" s="11">
        <v>3195</v>
      </c>
      <c r="E35" s="11">
        <v>3425</v>
      </c>
      <c r="F35" s="11">
        <v>3125</v>
      </c>
      <c r="G35" s="11">
        <v>3100</v>
      </c>
      <c r="H35" s="11">
        <v>3320</v>
      </c>
      <c r="I35" s="11">
        <v>6080</v>
      </c>
      <c r="J35" s="11">
        <v>3380</v>
      </c>
      <c r="K35" s="11">
        <v>4260</v>
      </c>
      <c r="L35" s="11">
        <v>3100</v>
      </c>
      <c r="M35" s="11">
        <v>3510</v>
      </c>
      <c r="N35" s="11">
        <f t="shared" si="17"/>
        <v>43240</v>
      </c>
    </row>
    <row r="36" spans="1:14" ht="18.75" customHeight="1" thickBot="1" x14ac:dyDescent="0.3">
      <c r="A36" s="4" t="s">
        <v>42</v>
      </c>
      <c r="B36" s="11">
        <v>220.23</v>
      </c>
      <c r="C36" s="11">
        <v>220.23</v>
      </c>
      <c r="D36" s="11">
        <v>220.23</v>
      </c>
      <c r="E36" s="11">
        <v>220.23</v>
      </c>
      <c r="F36" s="11">
        <v>220.23</v>
      </c>
      <c r="G36" s="11">
        <v>220.23</v>
      </c>
      <c r="H36" s="11">
        <v>220.23</v>
      </c>
      <c r="I36" s="11">
        <v>220.23</v>
      </c>
      <c r="J36" s="11">
        <v>220.23</v>
      </c>
      <c r="K36" s="11">
        <v>220.23</v>
      </c>
      <c r="L36" s="11">
        <v>220.23</v>
      </c>
      <c r="M36" s="11">
        <v>220.23</v>
      </c>
      <c r="N36" s="11">
        <f t="shared" si="17"/>
        <v>2642.7599999999998</v>
      </c>
    </row>
    <row r="37" spans="1:14" ht="24" customHeight="1" thickBot="1" x14ac:dyDescent="0.3">
      <c r="A37" s="4" t="s">
        <v>10</v>
      </c>
      <c r="B37" s="11">
        <v>0</v>
      </c>
      <c r="C37" s="11">
        <v>0</v>
      </c>
      <c r="D37" s="11">
        <f>75</f>
        <v>75</v>
      </c>
      <c r="E37" s="11">
        <f>3204.4+20500</f>
        <v>23704.400000000001</v>
      </c>
      <c r="F37" s="11">
        <f>65+965.1+1438.6+2038.6+16942.1+11172</f>
        <v>32621.399999999998</v>
      </c>
      <c r="G37" s="11">
        <f>1770+2856.1+759.6</f>
        <v>5385.7000000000007</v>
      </c>
      <c r="H37" s="11">
        <f>1077.2+4506.1</f>
        <v>5583.3</v>
      </c>
      <c r="I37" s="11">
        <v>0</v>
      </c>
      <c r="J37" s="11">
        <f>1190</f>
        <v>1190</v>
      </c>
      <c r="K37" s="11">
        <f>105+1879.3</f>
        <v>1984.3</v>
      </c>
      <c r="L37" s="11">
        <v>0</v>
      </c>
      <c r="M37" s="11">
        <f>105</f>
        <v>105</v>
      </c>
      <c r="N37" s="11">
        <f t="shared" si="17"/>
        <v>70649.100000000006</v>
      </c>
    </row>
    <row r="38" spans="1:14" ht="22.5" customHeight="1" thickBot="1" x14ac:dyDescent="0.3">
      <c r="A38" s="9" t="s">
        <v>22</v>
      </c>
      <c r="B38" s="10">
        <f t="shared" ref="B38:M38" si="23">SUM(B24:B37)</f>
        <v>25498.065050000001</v>
      </c>
      <c r="C38" s="10">
        <f t="shared" si="23"/>
        <v>23852.77176</v>
      </c>
      <c r="D38" s="10">
        <f t="shared" si="23"/>
        <v>25047.055710000004</v>
      </c>
      <c r="E38" s="10">
        <f t="shared" si="23"/>
        <v>46688.399870000001</v>
      </c>
      <c r="F38" s="10">
        <f t="shared" si="23"/>
        <v>56700.425219999997</v>
      </c>
      <c r="G38" s="10">
        <f t="shared" si="23"/>
        <v>27978.387709999999</v>
      </c>
      <c r="H38" s="10">
        <f t="shared" si="23"/>
        <v>29232.538359999999</v>
      </c>
      <c r="I38" s="10">
        <f t="shared" si="23"/>
        <v>25988.35556</v>
      </c>
      <c r="J38" s="10">
        <f t="shared" si="23"/>
        <v>27459.476060000001</v>
      </c>
      <c r="K38" s="10">
        <f t="shared" si="23"/>
        <v>27801.091199999999</v>
      </c>
      <c r="L38" s="10">
        <f t="shared" si="23"/>
        <v>24840.55314</v>
      </c>
      <c r="M38" s="10">
        <f t="shared" si="23"/>
        <v>25832.83612</v>
      </c>
      <c r="N38" s="10">
        <f>SUM(B38:M38)</f>
        <v>366919.95576000004</v>
      </c>
    </row>
    <row r="39" spans="1:14" ht="23.25" customHeight="1" thickBot="1" x14ac:dyDescent="0.3">
      <c r="A39" s="4" t="s">
        <v>5</v>
      </c>
      <c r="B39" s="18">
        <f t="shared" ref="B39:N39" si="24">B15-B38</f>
        <v>5653.9949500000002</v>
      </c>
      <c r="C39" s="18">
        <f t="shared" si="24"/>
        <v>4715.1682399999991</v>
      </c>
      <c r="D39" s="18">
        <f t="shared" si="24"/>
        <v>5532.1442899999965</v>
      </c>
      <c r="E39" s="18">
        <f t="shared" si="24"/>
        <v>-17435.729869999996</v>
      </c>
      <c r="F39" s="18">
        <f t="shared" si="24"/>
        <v>-27486.335220000004</v>
      </c>
      <c r="G39" s="18">
        <f t="shared" si="24"/>
        <v>-424.01771000000008</v>
      </c>
      <c r="H39" s="18">
        <f t="shared" si="24"/>
        <v>-268.21836000000621</v>
      </c>
      <c r="I39" s="18">
        <f t="shared" si="24"/>
        <v>15797.704439999998</v>
      </c>
      <c r="J39" s="18">
        <f t="shared" si="24"/>
        <v>2298.433939999999</v>
      </c>
      <c r="K39" s="18">
        <f t="shared" si="24"/>
        <v>1539.4088000000011</v>
      </c>
      <c r="L39" s="18">
        <f t="shared" si="24"/>
        <v>6539.0368600000038</v>
      </c>
      <c r="M39" s="18">
        <f t="shared" si="24"/>
        <v>4660.1038800000024</v>
      </c>
      <c r="N39" s="11">
        <f t="shared" si="24"/>
        <v>1121.6942399999243</v>
      </c>
    </row>
    <row r="40" spans="1:14" ht="23.25" customHeight="1" thickBot="1" x14ac:dyDescent="0.3">
      <c r="A40" s="4" t="s">
        <v>7</v>
      </c>
      <c r="B40" s="14">
        <f>B5+B39</f>
        <v>-214574.03505000001</v>
      </c>
      <c r="C40" s="19">
        <f>B40+C39</f>
        <v>-209858.86681000001</v>
      </c>
      <c r="D40" s="19">
        <f>C40+D39</f>
        <v>-204326.72252000001</v>
      </c>
      <c r="E40" s="19">
        <f t="shared" ref="E40:G40" si="25">D40+E39</f>
        <v>-221762.45238999999</v>
      </c>
      <c r="F40" s="19">
        <f t="shared" si="25"/>
        <v>-249248.78761</v>
      </c>
      <c r="G40" s="19">
        <f t="shared" si="25"/>
        <v>-249672.80531999998</v>
      </c>
      <c r="H40" s="19">
        <f t="shared" ref="H40" si="26">G40+H39</f>
        <v>-249941.02367999998</v>
      </c>
      <c r="I40" s="19">
        <f t="shared" ref="I40" si="27">H40+I39</f>
        <v>-234143.31923999998</v>
      </c>
      <c r="J40" s="19">
        <f t="shared" ref="J40" si="28">I40+J39</f>
        <v>-231844.88529999999</v>
      </c>
      <c r="K40" s="19">
        <f t="shared" ref="K40" si="29">J40+K39</f>
        <v>-230305.47649999999</v>
      </c>
      <c r="L40" s="19">
        <f t="shared" ref="L40" si="30">K40+L39</f>
        <v>-223766.43964</v>
      </c>
      <c r="M40" s="19">
        <f t="shared" ref="M40" si="31">L40+M39</f>
        <v>-219106.33575999999</v>
      </c>
      <c r="N40" s="18">
        <f>N5+N39</f>
        <v>-219106.33576000007</v>
      </c>
    </row>
    <row r="41" spans="1:14" ht="27" customHeight="1" thickBot="1" x14ac:dyDescent="0.3">
      <c r="A41" s="15" t="s">
        <v>11</v>
      </c>
      <c r="B41" s="20">
        <f t="shared" ref="B41:N41" si="32">B6+B15-B7</f>
        <v>-109199.01000000001</v>
      </c>
      <c r="C41" s="20">
        <f t="shared" si="32"/>
        <v>-112970.79000000001</v>
      </c>
      <c r="D41" s="20">
        <f t="shared" si="32"/>
        <v>-113806.36000000002</v>
      </c>
      <c r="E41" s="20">
        <f t="shared" si="32"/>
        <v>-116903.67999999999</v>
      </c>
      <c r="F41" s="20">
        <f t="shared" si="32"/>
        <v>-117838.82999999999</v>
      </c>
      <c r="G41" s="20">
        <f t="shared" si="32"/>
        <v>-121879.53</v>
      </c>
      <c r="H41" s="20">
        <f t="shared" si="32"/>
        <v>-123067.33</v>
      </c>
      <c r="I41" s="20">
        <f t="shared" si="32"/>
        <v>-112258.39</v>
      </c>
      <c r="J41" s="20">
        <f t="shared" si="32"/>
        <v>-112652.59999999999</v>
      </c>
      <c r="K41" s="20">
        <f t="shared" si="32"/>
        <v>-114291.49999999999</v>
      </c>
      <c r="L41" s="20">
        <f t="shared" si="32"/>
        <v>-115055.18999999997</v>
      </c>
      <c r="M41" s="20">
        <f t="shared" si="32"/>
        <v>-116801.28999999996</v>
      </c>
      <c r="N41" s="21">
        <f t="shared" si="32"/>
        <v>-116801.28999999998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6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2022-03-14T08:43:38Z</cp:lastPrinted>
  <dcterms:created xsi:type="dcterms:W3CDTF">2011-06-06T03:25:48Z</dcterms:created>
  <dcterms:modified xsi:type="dcterms:W3CDTF">2022-03-14T08:45:27Z</dcterms:modified>
</cp:coreProperties>
</file>