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29" i="1" l="1"/>
  <c r="M22" i="1"/>
  <c r="M20" i="1"/>
  <c r="M23" i="1"/>
  <c r="M13" i="1"/>
  <c r="M10" i="1"/>
  <c r="M11" i="1"/>
  <c r="M14" i="1"/>
  <c r="M18" i="1"/>
  <c r="M9" i="1"/>
  <c r="L22" i="1"/>
  <c r="L19" i="1"/>
  <c r="L20" i="1"/>
  <c r="L23" i="1"/>
  <c r="L13" i="1"/>
  <c r="L11" i="1"/>
  <c r="L14" i="1"/>
  <c r="L18" i="1"/>
  <c r="L9" i="1"/>
  <c r="K22" i="1"/>
  <c r="K19" i="1"/>
  <c r="K21" i="1"/>
  <c r="K20" i="1"/>
  <c r="K23" i="1"/>
  <c r="K13" i="1"/>
  <c r="K10" i="1"/>
  <c r="K14" i="1"/>
  <c r="K18" i="1"/>
  <c r="K9" i="1"/>
  <c r="M39" i="1" l="1"/>
  <c r="M37" i="1" l="1"/>
  <c r="L37" i="1" l="1"/>
  <c r="K37" i="1" l="1"/>
  <c r="M31" i="1" l="1"/>
  <c r="L31" i="1"/>
  <c r="M17" i="1" l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B8" i="1" l="1"/>
  <c r="B7" i="1" s="1"/>
  <c r="C8" i="1"/>
  <c r="C7" i="1" s="1"/>
  <c r="D8" i="1"/>
  <c r="D7" i="1" s="1"/>
  <c r="E8" i="1"/>
  <c r="E7" i="1" s="1"/>
  <c r="F8" i="1"/>
  <c r="F7" i="1" s="1"/>
  <c r="G8" i="1"/>
  <c r="G7" i="1" s="1"/>
  <c r="H8" i="1"/>
  <c r="H7" i="1" s="1"/>
  <c r="I8" i="1"/>
  <c r="I7" i="1" s="1"/>
  <c r="E9" i="1"/>
  <c r="F9" i="1"/>
  <c r="G9" i="1"/>
  <c r="H9" i="1"/>
  <c r="I9" i="1"/>
  <c r="E10" i="1"/>
  <c r="F10" i="1"/>
  <c r="E11" i="1"/>
  <c r="F11" i="1"/>
  <c r="G11" i="1"/>
  <c r="H11" i="1"/>
  <c r="I11" i="1"/>
  <c r="E12" i="1"/>
  <c r="F12" i="1"/>
  <c r="G12" i="1"/>
  <c r="H12" i="1"/>
  <c r="E13" i="1"/>
  <c r="F13" i="1"/>
  <c r="G13" i="1"/>
  <c r="H13" i="1"/>
  <c r="I13" i="1"/>
  <c r="E14" i="1"/>
  <c r="F14" i="1"/>
  <c r="G14" i="1"/>
  <c r="H14" i="1"/>
  <c r="I14" i="1"/>
  <c r="B17" i="1"/>
  <c r="B16" i="1" s="1"/>
  <c r="C17" i="1"/>
  <c r="C16" i="1" s="1"/>
  <c r="C41" i="1" s="1"/>
  <c r="D17" i="1"/>
  <c r="D16" i="1" s="1"/>
  <c r="E17" i="1"/>
  <c r="E16" i="1" s="1"/>
  <c r="F17" i="1"/>
  <c r="F16" i="1" s="1"/>
  <c r="F41" i="1" s="1"/>
  <c r="G17" i="1"/>
  <c r="G16" i="1" s="1"/>
  <c r="G41" i="1" s="1"/>
  <c r="H17" i="1"/>
  <c r="H16" i="1" s="1"/>
  <c r="I17" i="1"/>
  <c r="I16" i="1" s="1"/>
  <c r="I18" i="1"/>
  <c r="E19" i="1"/>
  <c r="G19" i="1"/>
  <c r="I19" i="1"/>
  <c r="E20" i="1"/>
  <c r="G20" i="1"/>
  <c r="I20" i="1"/>
  <c r="I21" i="1"/>
  <c r="E22" i="1"/>
  <c r="G22" i="1"/>
  <c r="I22" i="1"/>
  <c r="E23" i="1"/>
  <c r="G23" i="1"/>
  <c r="I23" i="1"/>
  <c r="B26" i="1"/>
  <c r="C26" i="1"/>
  <c r="C40" i="1" s="1"/>
  <c r="D26" i="1"/>
  <c r="E26" i="1"/>
  <c r="F26" i="1"/>
  <c r="G26" i="1"/>
  <c r="G40" i="1" s="1"/>
  <c r="H26" i="1"/>
  <c r="I26" i="1"/>
  <c r="B27" i="1"/>
  <c r="C27" i="1"/>
  <c r="D27" i="1"/>
  <c r="E27" i="1"/>
  <c r="F27" i="1"/>
  <c r="G27" i="1"/>
  <c r="H27" i="1"/>
  <c r="I27" i="1"/>
  <c r="B28" i="1"/>
  <c r="C28" i="1"/>
  <c r="D28" i="1"/>
  <c r="E28" i="1"/>
  <c r="F28" i="1"/>
  <c r="G28" i="1"/>
  <c r="H28" i="1"/>
  <c r="I28" i="1"/>
  <c r="B29" i="1"/>
  <c r="C29" i="1"/>
  <c r="D29" i="1"/>
  <c r="E29" i="1"/>
  <c r="F29" i="1"/>
  <c r="G29" i="1"/>
  <c r="H29" i="1"/>
  <c r="I29" i="1"/>
  <c r="H30" i="1"/>
  <c r="H40" i="1" s="1"/>
  <c r="I30" i="1"/>
  <c r="I40" i="1" s="1"/>
  <c r="B31" i="1"/>
  <c r="C31" i="1"/>
  <c r="D31" i="1"/>
  <c r="D40" i="1" s="1"/>
  <c r="E31" i="1"/>
  <c r="E40" i="1" s="1"/>
  <c r="B35" i="1"/>
  <c r="C35" i="1"/>
  <c r="D35" i="1"/>
  <c r="E35" i="1"/>
  <c r="F35" i="1"/>
  <c r="G35" i="1"/>
  <c r="H35" i="1"/>
  <c r="I35" i="1"/>
  <c r="B37" i="1"/>
  <c r="H37" i="1"/>
  <c r="I37" i="1"/>
  <c r="B39" i="1"/>
  <c r="C39" i="1"/>
  <c r="D39" i="1"/>
  <c r="E39" i="1"/>
  <c r="F39" i="1"/>
  <c r="G39" i="1"/>
  <c r="H39" i="1"/>
  <c r="I39" i="1"/>
  <c r="B40" i="1"/>
  <c r="F40" i="1"/>
  <c r="B41" i="1" l="1"/>
  <c r="B42" i="1" s="1"/>
  <c r="C5" i="1" s="1"/>
  <c r="C42" i="1" s="1"/>
  <c r="D5" i="1" s="1"/>
  <c r="B43" i="1"/>
  <c r="C6" i="1" s="1"/>
  <c r="C43" i="1" s="1"/>
  <c r="D6" i="1" s="1"/>
  <c r="D43" i="1" s="1"/>
  <c r="E6" i="1" s="1"/>
  <c r="E43" i="1" s="1"/>
  <c r="F6" i="1" s="1"/>
  <c r="F43" i="1" s="1"/>
  <c r="G6" i="1" s="1"/>
  <c r="G43" i="1" s="1"/>
  <c r="H6" i="1" s="1"/>
  <c r="H43" i="1" s="1"/>
  <c r="I6" i="1" s="1"/>
  <c r="I43" i="1" s="1"/>
  <c r="I41" i="1"/>
  <c r="E41" i="1"/>
  <c r="H41" i="1"/>
  <c r="D41" i="1"/>
  <c r="J22" i="1"/>
  <c r="J20" i="1"/>
  <c r="J23" i="1"/>
  <c r="J13" i="1"/>
  <c r="J12" i="1"/>
  <c r="J11" i="1"/>
  <c r="J14" i="1"/>
  <c r="J18" i="1"/>
  <c r="J9" i="1"/>
  <c r="D42" i="1" l="1"/>
  <c r="E5" i="1" s="1"/>
  <c r="E42" i="1" s="1"/>
  <c r="F5" i="1" s="1"/>
  <c r="F42" i="1" s="1"/>
  <c r="G5" i="1" s="1"/>
  <c r="G42" i="1" s="1"/>
  <c r="H5" i="1" s="1"/>
  <c r="H42" i="1" s="1"/>
  <c r="I5" i="1" s="1"/>
  <c r="I42" i="1" s="1"/>
  <c r="J35" i="1"/>
  <c r="J39" i="1" l="1"/>
  <c r="J31" i="1" l="1"/>
  <c r="J37" i="1" l="1"/>
  <c r="J30" i="1" l="1"/>
  <c r="J29" i="1" l="1"/>
  <c r="J17" i="1"/>
  <c r="J28" i="1"/>
  <c r="J8" i="1"/>
  <c r="J27" i="1" l="1"/>
  <c r="J26" i="1"/>
  <c r="N38" i="1" l="1"/>
  <c r="N15" i="1" l="1"/>
  <c r="N39" i="1" l="1"/>
  <c r="N6" i="1" l="1"/>
  <c r="N5" i="1"/>
  <c r="K16" i="1" l="1"/>
  <c r="K7" i="1"/>
  <c r="N26" i="1"/>
  <c r="N27" i="1"/>
  <c r="N30" i="1"/>
  <c r="N31" i="1"/>
  <c r="N32" i="1"/>
  <c r="N33" i="1"/>
  <c r="N34" i="1"/>
  <c r="N35" i="1"/>
  <c r="N36" i="1"/>
  <c r="N24" i="1"/>
  <c r="L16" i="1"/>
  <c r="M16" i="1"/>
  <c r="M7" i="1"/>
  <c r="N13" i="1"/>
  <c r="L40" i="1" l="1"/>
  <c r="L41" i="1" s="1"/>
  <c r="M40" i="1"/>
  <c r="M41" i="1" s="1"/>
  <c r="L7" i="1"/>
  <c r="K40" i="1" l="1"/>
  <c r="K41" i="1" l="1"/>
  <c r="J16" i="1"/>
  <c r="J7" i="1"/>
  <c r="N12" i="1"/>
  <c r="N29" i="1"/>
  <c r="N23" i="1"/>
  <c r="N22" i="1"/>
  <c r="N21" i="1"/>
  <c r="N20" i="1"/>
  <c r="N19" i="1"/>
  <c r="N8" i="1"/>
  <c r="N9" i="1"/>
  <c r="N14" i="1"/>
  <c r="N10" i="1"/>
  <c r="N11" i="1" l="1"/>
  <c r="N17" i="1"/>
  <c r="N18" i="1"/>
  <c r="N28" i="1"/>
  <c r="J40" i="1"/>
  <c r="J41" i="1" s="1"/>
  <c r="N16" i="1" l="1"/>
  <c r="N7" i="1"/>
  <c r="N37" i="1" l="1"/>
  <c r="N40" i="1" l="1"/>
  <c r="N43" i="1" l="1"/>
  <c r="N41" i="1"/>
  <c r="N42" i="1" s="1"/>
  <c r="J5" i="1" l="1"/>
  <c r="J42" i="1" s="1"/>
  <c r="K5" i="1" s="1"/>
  <c r="K42" i="1" s="1"/>
  <c r="L5" i="1" s="1"/>
  <c r="L42" i="1" s="1"/>
  <c r="M5" i="1" s="1"/>
  <c r="M42" i="1" s="1"/>
  <c r="J6" i="1"/>
  <c r="J43" i="1" s="1"/>
  <c r="K6" i="1" l="1"/>
  <c r="K43" i="1" s="1"/>
  <c r="L6" i="1" s="1"/>
  <c r="L43" i="1" s="1"/>
  <c r="M6" i="1" l="1"/>
  <c r="M43" i="1" s="1"/>
</calcChain>
</file>

<file path=xl/sharedStrings.xml><?xml version="1.0" encoding="utf-8"?>
<sst xmlns="http://schemas.openxmlformats.org/spreadsheetml/2006/main" count="55" uniqueCount="46">
  <si>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</si>
  <si>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</si>
  <si>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</si>
  <si>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</si>
  <si>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</si>
  <si>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</si>
  <si>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</si>
  <si>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</si>
  <si>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</si>
  <si>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</si>
  <si>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</si>
  <si>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</si>
  <si>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</si>
  <si>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</si>
  <si>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</si>
  <si>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</si>
  <si>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</si>
  <si>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</si>
  <si>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</si>
  <si>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</si>
  <si>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</si>
  <si>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</si>
  <si>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</si>
  <si>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</si>
  <si>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</si>
  <si>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</si>
  <si>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</si>
  <si>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</si>
  <si>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</si>
  <si>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</si>
  <si>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</si>
  <si>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</si>
  <si>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</si>
  <si>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</si>
  <si>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</si>
  <si>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</si>
  <si>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</si>
  <si>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</si>
  <si>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</si>
  <si>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</si>
  <si>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2021г.</t>
  </si>
  <si>
    <t>Всего:                       за  2021г</t>
  </si>
  <si>
    <t>42,68,74</t>
  </si>
  <si>
    <t xml:space="preserve">                 ОТЧЕТ по дому Липового, 72 за период 01.01.2021г. по 31.12.2021г.</t>
  </si>
  <si>
    <t xml:space="preserve">Содержание жилья и текущий ремонт,  ОПУ </t>
  </si>
  <si>
    <t>Содержание жилья и текущий ремонт,  ОПУ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</si>
</sst>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6.5546875" customWidth="1"/>
    <col min="3" max="3" width="14.5546875" customWidth="1"/>
    <col min="4" max="4" width="14" customWidth="1"/>
    <col min="5" max="5" width="14.109375" customWidth="1"/>
    <col min="6" max="6" width="13.88671875" customWidth="1"/>
    <col min="7" max="7" width="13.33203125" customWidth="1"/>
    <col min="8" max="8" width="13.5546875" customWidth="1"/>
    <col min="9" max="13" width="14.109375" customWidth="1"/>
    <col min="14" max="14" width="15.88671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-514147.77</v>
      </c>
      <c r="C5" s="8">
        <f t="shared" ref="C5:D6" si="0">B42</f>
        <v>-514852.46098000003</v>
      </c>
      <c r="D5" s="8">
        <f t="shared" si="0"/>
        <v>-451794.96241000004</v>
      </c>
      <c r="E5" s="8">
        <f t="shared" ref="E5:E6" si="1">D42</f>
        <v>-457688.72300000006</v>
      </c>
      <c r="F5" s="8">
        <f t="shared" ref="F5:F6" si="2">E42</f>
        <v>-466737.15839000006</v>
      </c>
      <c r="G5" s="8">
        <f t="shared" ref="G5:G6" si="3">F42</f>
        <v>-469824.12261000002</v>
      </c>
      <c r="H5" s="8">
        <f>G42</f>
        <v>-491690.99791000003</v>
      </c>
      <c r="I5" s="8">
        <f t="shared" ref="I5:I6" si="4">H42</f>
        <v>-511674.68481000006</v>
      </c>
      <c r="J5" s="8">
        <f>I42</f>
        <v>-486011.08733000007</v>
      </c>
      <c r="K5" s="8">
        <f t="shared" ref="K5:K6" si="5">J42</f>
        <v>-480649.03529000009</v>
      </c>
      <c r="L5" s="8">
        <f t="shared" ref="L5:L6" si="6">K42</f>
        <v>-416072.20088000008</v>
      </c>
      <c r="M5" s="8">
        <f t="shared" ref="M5:M6" si="7">L42</f>
        <v>-378633.23840000003</v>
      </c>
      <c r="N5" s="8">
        <f>B5</f>
        <v>-514147.77</v>
      </c>
    </row>
    <row r="6" spans="1:18" ht="21" customHeight="1" thickBot="1" x14ac:dyDescent="0.3">
      <c r="A6" s="7" t="s">
        <v>13</v>
      </c>
      <c r="B6" s="8">
        <v>-124303.95</v>
      </c>
      <c r="C6" s="8">
        <f t="shared" si="0"/>
        <v>-137563.83000000002</v>
      </c>
      <c r="D6" s="8">
        <f t="shared" si="0"/>
        <v>-95558.080000000031</v>
      </c>
      <c r="E6" s="8">
        <f t="shared" si="1"/>
        <v>-110579.14000000004</v>
      </c>
      <c r="F6" s="8">
        <f t="shared" si="2"/>
        <v>-119064.08000000006</v>
      </c>
      <c r="G6" s="8">
        <f t="shared" si="3"/>
        <v>-142123.02000000008</v>
      </c>
      <c r="H6" s="8">
        <f>G43</f>
        <v>-140448.53000000009</v>
      </c>
      <c r="I6" s="8">
        <f t="shared" si="4"/>
        <v>-169847.94000000009</v>
      </c>
      <c r="J6" s="8">
        <f>I43</f>
        <v>-143235.19000000012</v>
      </c>
      <c r="K6" s="8">
        <f t="shared" si="5"/>
        <v>-155368.85000000012</v>
      </c>
      <c r="L6" s="8">
        <f t="shared" si="6"/>
        <v>-112866.89000000013</v>
      </c>
      <c r="M6" s="8">
        <f t="shared" si="7"/>
        <v>-92969.580000000118</v>
      </c>
      <c r="N6" s="8">
        <f>B6</f>
        <v>-124303.95</v>
      </c>
    </row>
    <row r="7" spans="1:18" ht="20.25" customHeight="1" thickBot="1" x14ac:dyDescent="0.3">
      <c r="A7" s="9" t="s">
        <v>12</v>
      </c>
      <c r="B7" s="10">
        <f t="shared" ref="B7:M7" si="8">SUM(B8:B15)</f>
        <v>66269.600000000006</v>
      </c>
      <c r="C7" s="10">
        <f t="shared" si="8"/>
        <v>69566.91</v>
      </c>
      <c r="D7" s="10">
        <f t="shared" si="8"/>
        <v>63846.31</v>
      </c>
      <c r="E7" s="10">
        <f t="shared" si="8"/>
        <v>68246.880000000005</v>
      </c>
      <c r="F7" s="10">
        <f t="shared" si="8"/>
        <v>74009.590000000011</v>
      </c>
      <c r="G7" s="10">
        <f t="shared" si="8"/>
        <v>63386.189999999995</v>
      </c>
      <c r="H7" s="10">
        <f t="shared" si="8"/>
        <v>75546.91</v>
      </c>
      <c r="I7" s="10">
        <f t="shared" si="8"/>
        <v>73243.87</v>
      </c>
      <c r="J7" s="10">
        <f t="shared" si="8"/>
        <v>76464.59</v>
      </c>
      <c r="K7" s="10">
        <f t="shared" si="8"/>
        <v>77204.11</v>
      </c>
      <c r="L7" s="10">
        <f t="shared" si="8"/>
        <v>73243.87</v>
      </c>
      <c r="M7" s="10">
        <f t="shared" si="8"/>
        <v>75185.51999999999</v>
      </c>
      <c r="N7" s="10">
        <f t="shared" ref="N7:N24" si="9">SUM(B7:M7)</f>
        <v>856214.35</v>
      </c>
    </row>
    <row r="8" spans="1:18" ht="24.75" customHeight="1" thickBot="1" x14ac:dyDescent="0.3">
      <c r="A8" s="4" t="s">
        <v>44</v>
      </c>
      <c r="B8" s="11">
        <f t="shared" ref="B8:G8" si="10">43329.9+360.63+971.07</f>
        <v>44661.599999999999</v>
      </c>
      <c r="C8" s="11">
        <f t="shared" si="10"/>
        <v>44661.599999999999</v>
      </c>
      <c r="D8" s="11">
        <f t="shared" si="10"/>
        <v>44661.599999999999</v>
      </c>
      <c r="E8" s="11">
        <f t="shared" si="10"/>
        <v>44661.599999999999</v>
      </c>
      <c r="F8" s="11">
        <f t="shared" si="10"/>
        <v>44661.599999999999</v>
      </c>
      <c r="G8" s="11">
        <f t="shared" si="10"/>
        <v>44661.599999999999</v>
      </c>
      <c r="H8" s="11">
        <f t="shared" ref="H8:M8" si="11">51596.4+360.63+971.07</f>
        <v>52928.1</v>
      </c>
      <c r="I8" s="11">
        <f t="shared" si="11"/>
        <v>52928.1</v>
      </c>
      <c r="J8" s="11">
        <f t="shared" si="11"/>
        <v>52928.1</v>
      </c>
      <c r="K8" s="11">
        <f t="shared" si="11"/>
        <v>52928.1</v>
      </c>
      <c r="L8" s="11">
        <f t="shared" si="11"/>
        <v>52928.1</v>
      </c>
      <c r="M8" s="11">
        <f t="shared" si="11"/>
        <v>52928.1</v>
      </c>
      <c r="N8" s="11">
        <f t="shared" si="9"/>
        <v>585538.19999999984</v>
      </c>
    </row>
    <row r="9" spans="1:18" ht="24.75" customHeight="1" thickBot="1" x14ac:dyDescent="0.3">
      <c r="A9" s="4" t="s">
        <v>17</v>
      </c>
      <c r="B9" s="11">
        <v>10679.4</v>
      </c>
      <c r="C9" s="11">
        <v>10679.4</v>
      </c>
      <c r="D9" s="11">
        <v>10679.4</v>
      </c>
      <c r="E9" s="11">
        <f>7214.88+3464.52</f>
        <v>10679.4</v>
      </c>
      <c r="F9" s="11">
        <f>7214.88+3464.52</f>
        <v>10679.4</v>
      </c>
      <c r="G9" s="11">
        <f>7214.88+3464.52</f>
        <v>10679.4</v>
      </c>
      <c r="H9" s="11">
        <f>8591.34+4125.48</f>
        <v>12716.82</v>
      </c>
      <c r="I9" s="11">
        <f>8591.34+4125.48</f>
        <v>12716.82</v>
      </c>
      <c r="J9" s="11">
        <f>8591.34+4125.48</f>
        <v>12716.82</v>
      </c>
      <c r="K9" s="11">
        <f>8591.34+4125.48</f>
        <v>12716.82</v>
      </c>
      <c r="L9" s="11">
        <f>8591.34+4125.48</f>
        <v>12716.82</v>
      </c>
      <c r="M9" s="11">
        <f>8591.34+4125.48</f>
        <v>12716.82</v>
      </c>
      <c r="N9" s="11">
        <f t="shared" si="9"/>
        <v>140377.32000000004</v>
      </c>
    </row>
    <row r="10" spans="1:18" ht="24.75" customHeight="1" thickBot="1" x14ac:dyDescent="0.3">
      <c r="A10" s="4" t="s">
        <v>18</v>
      </c>
      <c r="B10" s="11">
        <v>3398.69</v>
      </c>
      <c r="C10" s="11">
        <v>5673.96</v>
      </c>
      <c r="D10" s="11">
        <v>1175.4000000000001</v>
      </c>
      <c r="E10" s="11">
        <f>2131.03+355.66+170.79</f>
        <v>2657.48</v>
      </c>
      <c r="F10" s="11">
        <f>8775.68+1459.6+700.89</f>
        <v>10936.17</v>
      </c>
      <c r="G10" s="11">
        <v>0</v>
      </c>
      <c r="H10" s="11">
        <v>0</v>
      </c>
      <c r="I10" s="11">
        <v>0</v>
      </c>
      <c r="J10" s="11">
        <v>0</v>
      </c>
      <c r="K10" s="11">
        <f>4019.61+669.76+321.61</f>
        <v>5010.9799999999996</v>
      </c>
      <c r="L10" s="11">
        <v>0</v>
      </c>
      <c r="M10" s="11">
        <f>1558.78+258.66+124.21</f>
        <v>1941.65</v>
      </c>
      <c r="N10" s="11">
        <f t="shared" si="9"/>
        <v>30794.329999999998</v>
      </c>
    </row>
    <row r="11" spans="1:18" ht="24.75" customHeight="1" thickBot="1" x14ac:dyDescent="0.3">
      <c r="A11" s="4" t="s">
        <v>19</v>
      </c>
      <c r="B11" s="11">
        <v>205.49</v>
      </c>
      <c r="C11" s="11">
        <v>205.49</v>
      </c>
      <c r="D11" s="11">
        <v>205.49</v>
      </c>
      <c r="E11" s="11">
        <f>164.47+27.71+13.31</f>
        <v>205.49</v>
      </c>
      <c r="F11" s="11">
        <f>164.47+27.71+13.31</f>
        <v>205.49</v>
      </c>
      <c r="G11" s="11">
        <f>164.47+27.71+13.31</f>
        <v>205.49</v>
      </c>
      <c r="H11" s="11">
        <f>164.47+27.71+13.31</f>
        <v>205.49</v>
      </c>
      <c r="I11" s="11">
        <f>174.6+27.71+13.31</f>
        <v>215.62</v>
      </c>
      <c r="J11" s="11">
        <f>174.6+27.71+13.31</f>
        <v>215.62</v>
      </c>
      <c r="K11" s="11">
        <v>-835.12</v>
      </c>
      <c r="L11" s="11">
        <f>174.6+27.71+13.31</f>
        <v>215.62</v>
      </c>
      <c r="M11" s="11">
        <f>174.6+27.71+13.31</f>
        <v>215.62</v>
      </c>
      <c r="N11" s="11">
        <f t="shared" si="9"/>
        <v>1465.79</v>
      </c>
    </row>
    <row r="12" spans="1:18" ht="24.75" customHeight="1" thickBot="1" x14ac:dyDescent="0.3">
      <c r="A12" s="4" t="s">
        <v>20</v>
      </c>
      <c r="B12" s="11">
        <v>0</v>
      </c>
      <c r="C12" s="11">
        <v>1022.04</v>
      </c>
      <c r="D12" s="11">
        <v>0</v>
      </c>
      <c r="E12" s="11">
        <f>2137.31+355.68+170.81</f>
        <v>2663.7999999999997</v>
      </c>
      <c r="F12" s="11">
        <f>120.47+18.48+8.87</f>
        <v>147.82</v>
      </c>
      <c r="G12" s="11">
        <f>371.71+60.05+28.83</f>
        <v>460.59</v>
      </c>
      <c r="H12" s="11">
        <f>1855.09+309.47+148.61</f>
        <v>2313.17</v>
      </c>
      <c r="I12" s="11">
        <v>0</v>
      </c>
      <c r="J12" s="11">
        <f>2584.88+429.57+206.27</f>
        <v>3220.7200000000003</v>
      </c>
      <c r="K12" s="11">
        <v>0</v>
      </c>
      <c r="L12" s="11">
        <v>0</v>
      </c>
      <c r="M12" s="11">
        <v>0</v>
      </c>
      <c r="N12" s="11">
        <f t="shared" si="9"/>
        <v>9828.14</v>
      </c>
    </row>
    <row r="13" spans="1:18" ht="24.75" customHeight="1" thickBot="1" x14ac:dyDescent="0.3">
      <c r="A13" s="4" t="s">
        <v>27</v>
      </c>
      <c r="B13" s="11">
        <v>6219.2</v>
      </c>
      <c r="C13" s="11">
        <v>6219.2</v>
      </c>
      <c r="D13" s="11">
        <v>6019.2</v>
      </c>
      <c r="E13" s="11">
        <f t="shared" ref="E13:J13" si="12">6019.2+100+100</f>
        <v>6219.2</v>
      </c>
      <c r="F13" s="11">
        <f t="shared" si="12"/>
        <v>6219.2</v>
      </c>
      <c r="G13" s="11">
        <f t="shared" si="12"/>
        <v>6219.2</v>
      </c>
      <c r="H13" s="11">
        <f t="shared" si="12"/>
        <v>6219.2</v>
      </c>
      <c r="I13" s="11">
        <f t="shared" si="12"/>
        <v>6219.2</v>
      </c>
      <c r="J13" s="11">
        <f t="shared" si="12"/>
        <v>6219.2</v>
      </c>
      <c r="K13" s="11">
        <f>6019.2+100+100</f>
        <v>6219.2</v>
      </c>
      <c r="L13" s="11">
        <f>6019.2+100+100</f>
        <v>6219.2</v>
      </c>
      <c r="M13" s="11">
        <f>6019.2+100+100</f>
        <v>6219.2</v>
      </c>
      <c r="N13" s="11">
        <f t="shared" si="9"/>
        <v>74430.39999999998</v>
      </c>
    </row>
    <row r="14" spans="1:18" ht="24.75" customHeight="1" thickBot="1" x14ac:dyDescent="0.3">
      <c r="A14" s="4" t="s">
        <v>28</v>
      </c>
      <c r="B14" s="11">
        <v>235.22</v>
      </c>
      <c r="C14" s="11">
        <v>235.22</v>
      </c>
      <c r="D14" s="11">
        <v>235.22</v>
      </c>
      <c r="E14" s="11">
        <f>235.22+36.95+17.74</f>
        <v>289.91000000000003</v>
      </c>
      <c r="F14" s="11">
        <f>235.22+36.95+17.74</f>
        <v>289.91000000000003</v>
      </c>
      <c r="G14" s="11">
        <f>235.22+36.95+17.74</f>
        <v>289.91000000000003</v>
      </c>
      <c r="H14" s="11">
        <f>239.44+36.95+17.74</f>
        <v>294.13</v>
      </c>
      <c r="I14" s="11">
        <f>239.44+36.95+17.74</f>
        <v>294.13</v>
      </c>
      <c r="J14" s="11">
        <f>239.44+36.95+17.74</f>
        <v>294.13</v>
      </c>
      <c r="K14" s="11">
        <f>239.44+36.95+17.74</f>
        <v>294.13</v>
      </c>
      <c r="L14" s="11">
        <f>239.44+36.95+17.74</f>
        <v>294.13</v>
      </c>
      <c r="M14" s="11">
        <f>239.44+36.95+17.74</f>
        <v>294.13</v>
      </c>
      <c r="N14" s="11">
        <f t="shared" si="9"/>
        <v>3340.1700000000005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11">
        <f t="shared" si="9"/>
        <v>10440</v>
      </c>
    </row>
    <row r="16" spans="1:18" ht="20.25" customHeight="1" thickBot="1" x14ac:dyDescent="0.3">
      <c r="A16" s="12" t="s">
        <v>8</v>
      </c>
      <c r="B16" s="13">
        <f t="shared" ref="B16:M16" si="13">SUM(B17:B24)</f>
        <v>53009.719999999994</v>
      </c>
      <c r="C16" s="13">
        <f t="shared" si="13"/>
        <v>111572.65999999999</v>
      </c>
      <c r="D16" s="13">
        <f t="shared" si="13"/>
        <v>48825.249999999993</v>
      </c>
      <c r="E16" s="13">
        <f t="shared" si="13"/>
        <v>59761.939999999988</v>
      </c>
      <c r="F16" s="13">
        <f t="shared" si="13"/>
        <v>50950.650000000009</v>
      </c>
      <c r="G16" s="13">
        <f t="shared" si="13"/>
        <v>65060.679999999993</v>
      </c>
      <c r="H16" s="13">
        <f t="shared" si="13"/>
        <v>46147.499999999993</v>
      </c>
      <c r="I16" s="13">
        <f t="shared" si="13"/>
        <v>99856.619999999981</v>
      </c>
      <c r="J16" s="13">
        <f t="shared" si="13"/>
        <v>64330.929999999993</v>
      </c>
      <c r="K16" s="13">
        <f t="shared" si="13"/>
        <v>119706.06999999999</v>
      </c>
      <c r="L16" s="13">
        <f t="shared" si="13"/>
        <v>93141.180000000008</v>
      </c>
      <c r="M16" s="13">
        <f t="shared" si="13"/>
        <v>77254.999999999985</v>
      </c>
      <c r="N16" s="13">
        <f t="shared" si="9"/>
        <v>889618.2</v>
      </c>
    </row>
    <row r="17" spans="1:15" ht="24" customHeight="1" thickBot="1" x14ac:dyDescent="0.3">
      <c r="A17" s="4" t="s">
        <v>45</v>
      </c>
      <c r="B17" s="11">
        <f>37239.71+312.94+818.2</f>
        <v>38370.85</v>
      </c>
      <c r="C17" s="11">
        <f>73624.9+567.8+693.5+2404.84</f>
        <v>77291.039999999994</v>
      </c>
      <c r="D17" s="11">
        <f>40224.57+326.59+890.74</f>
        <v>41441.899999999994</v>
      </c>
      <c r="E17" s="11">
        <f>1228.35+44373.05+365.63+992.02</f>
        <v>46959.049999999996</v>
      </c>
      <c r="F17" s="11">
        <f>38879.51+441.17+1118.71</f>
        <v>40439.39</v>
      </c>
      <c r="G17" s="11">
        <f>110.84+40388.06+370.31+45.06+1116.8+190.61</f>
        <v>42221.679999999993</v>
      </c>
      <c r="H17" s="11">
        <f>38031.95+320.34+163.06+862.58</f>
        <v>39377.929999999993</v>
      </c>
      <c r="I17" s="11">
        <f>48283.82+336.38+905.78</f>
        <v>49525.979999999996</v>
      </c>
      <c r="J17" s="11">
        <f>45931.57+331.46+892.56</f>
        <v>47155.59</v>
      </c>
      <c r="K17" s="11">
        <f>63671.99+444.9+1197.99</f>
        <v>65314.879999999997</v>
      </c>
      <c r="L17" s="11">
        <f>64278.71+493.69+1329.15</f>
        <v>66101.55</v>
      </c>
      <c r="M17" s="11">
        <f>639.86+54283.59+385.75+1038.75</f>
        <v>56347.95</v>
      </c>
      <c r="N17" s="11">
        <f t="shared" si="9"/>
        <v>610547.78999999992</v>
      </c>
    </row>
    <row r="18" spans="1:15" ht="26.25" customHeight="1" thickBot="1" x14ac:dyDescent="0.3">
      <c r="A18" s="4" t="s">
        <v>17</v>
      </c>
      <c r="B18" s="11">
        <v>7214.88</v>
      </c>
      <c r="C18" s="11">
        <v>17894.28</v>
      </c>
      <c r="D18" s="11">
        <v>0</v>
      </c>
      <c r="E18" s="11">
        <v>3464.52</v>
      </c>
      <c r="F18" s="11">
        <v>0</v>
      </c>
      <c r="G18" s="11">
        <v>7214.88</v>
      </c>
      <c r="H18" s="11">
        <v>0</v>
      </c>
      <c r="I18" s="11">
        <f>37450.86</f>
        <v>37450.86</v>
      </c>
      <c r="J18" s="11">
        <f>8591.34</f>
        <v>8591.34</v>
      </c>
      <c r="K18" s="11">
        <f>7214.88+8591.34+22109.04</f>
        <v>37915.26</v>
      </c>
      <c r="L18" s="11">
        <f>8591.34+4125.48</f>
        <v>12716.82</v>
      </c>
      <c r="M18" s="11">
        <f>8591.34+4125.48</f>
        <v>12716.82</v>
      </c>
      <c r="N18" s="11">
        <f t="shared" si="9"/>
        <v>145179.66</v>
      </c>
    </row>
    <row r="19" spans="1:15" ht="26.25" customHeight="1" thickBot="1" x14ac:dyDescent="0.3">
      <c r="A19" s="4" t="s">
        <v>18</v>
      </c>
      <c r="B19" s="11">
        <v>1330.65</v>
      </c>
      <c r="C19" s="11">
        <v>4628</v>
      </c>
      <c r="D19" s="11" t="s">
        <v>42</v>
      </c>
      <c r="E19" s="11">
        <f>1198.27+217.36</f>
        <v>1415.63</v>
      </c>
      <c r="F19" s="11">
        <v>1892.87</v>
      </c>
      <c r="G19" s="11">
        <f>7896.78+157.05</f>
        <v>8053.83</v>
      </c>
      <c r="H19" s="11">
        <v>101.92</v>
      </c>
      <c r="I19" s="11">
        <f>97.27+157.05+355.66+1459.6</f>
        <v>2069.58</v>
      </c>
      <c r="J19" s="11">
        <v>197.77</v>
      </c>
      <c r="K19" s="11">
        <f>677.82+780.61+947.09</f>
        <v>2405.52</v>
      </c>
      <c r="L19" s="11">
        <f>4283.58+669.76+321.61</f>
        <v>5274.95</v>
      </c>
      <c r="M19" s="11">
        <v>408.06</v>
      </c>
      <c r="N19" s="11">
        <f t="shared" si="9"/>
        <v>27778.78</v>
      </c>
    </row>
    <row r="20" spans="1:15" ht="26.25" customHeight="1" thickBot="1" x14ac:dyDescent="0.3">
      <c r="A20" s="4" t="s">
        <v>19</v>
      </c>
      <c r="B20" s="11">
        <v>193.01</v>
      </c>
      <c r="C20" s="11">
        <v>1110.5899999999999</v>
      </c>
      <c r="D20" s="11">
        <v>153.49</v>
      </c>
      <c r="E20" s="11">
        <f>165.86+13.31</f>
        <v>179.17000000000002</v>
      </c>
      <c r="F20" s="11">
        <v>144.29</v>
      </c>
      <c r="G20" s="11">
        <f>158.17+27.71</f>
        <v>185.88</v>
      </c>
      <c r="H20" s="11">
        <v>146.27000000000001</v>
      </c>
      <c r="I20" s="11">
        <f>155.17+27.71*5</f>
        <v>293.72000000000003</v>
      </c>
      <c r="J20" s="11">
        <f>156.19+27.71</f>
        <v>183.9</v>
      </c>
      <c r="K20" s="11">
        <f>212.51+27.71+27.71+79.86</f>
        <v>347.79</v>
      </c>
      <c r="L20" s="11">
        <f>131.16+13.31</f>
        <v>144.47</v>
      </c>
      <c r="M20" s="11">
        <f>6.13+27.71+13.31</f>
        <v>47.150000000000006</v>
      </c>
      <c r="N20" s="11">
        <f t="shared" si="9"/>
        <v>3129.73</v>
      </c>
    </row>
    <row r="21" spans="1:15" ht="26.25" customHeight="1" thickBot="1" x14ac:dyDescent="0.3">
      <c r="A21" s="4" t="s">
        <v>20</v>
      </c>
      <c r="B21" s="11">
        <v>0</v>
      </c>
      <c r="C21" s="11">
        <v>1703.08</v>
      </c>
      <c r="D21" s="11">
        <v>772.67</v>
      </c>
      <c r="E21" s="11">
        <v>50.71</v>
      </c>
      <c r="F21" s="11">
        <v>1770.61</v>
      </c>
      <c r="G21" s="11">
        <v>280.07</v>
      </c>
      <c r="H21" s="11">
        <v>327.64999999999998</v>
      </c>
      <c r="I21" s="11">
        <f>1677.13+355.66+18.48+60.05+309.47</f>
        <v>2420.79</v>
      </c>
      <c r="J21" s="11">
        <v>81.319999999999993</v>
      </c>
      <c r="K21" s="11">
        <f>2494.11+147.81+429.57+357.1</f>
        <v>3428.59</v>
      </c>
      <c r="L21" s="11">
        <v>497.19</v>
      </c>
      <c r="M21" s="11">
        <v>0.02</v>
      </c>
      <c r="N21" s="11">
        <f t="shared" si="9"/>
        <v>11332.699999999999</v>
      </c>
    </row>
    <row r="22" spans="1:15" ht="26.25" customHeight="1" thickBot="1" x14ac:dyDescent="0.3">
      <c r="A22" s="4" t="s">
        <v>27</v>
      </c>
      <c r="B22" s="11">
        <v>5063.2</v>
      </c>
      <c r="C22" s="11">
        <v>7851</v>
      </c>
      <c r="D22" s="11">
        <v>5497.64</v>
      </c>
      <c r="E22" s="11">
        <f>6737.93+100</f>
        <v>6837.93</v>
      </c>
      <c r="F22" s="11">
        <v>5895.19</v>
      </c>
      <c r="G22" s="11">
        <f>6141.68+100</f>
        <v>6241.68</v>
      </c>
      <c r="H22" s="11">
        <v>5387.26</v>
      </c>
      <c r="I22" s="11">
        <f>6585.26+500</f>
        <v>7085.26</v>
      </c>
      <c r="J22" s="11">
        <f>7169.11+100</f>
        <v>7269.11</v>
      </c>
      <c r="K22" s="11">
        <f>7720.95+100+100+600</f>
        <v>8520.9500000000007</v>
      </c>
      <c r="L22" s="11">
        <f>7044.35+100+100</f>
        <v>7244.35</v>
      </c>
      <c r="M22" s="11">
        <f>6432.79+100+100</f>
        <v>6632.79</v>
      </c>
      <c r="N22" s="11">
        <f t="shared" si="9"/>
        <v>79526.36</v>
      </c>
    </row>
    <row r="23" spans="1:15" ht="26.25" customHeight="1" thickBot="1" x14ac:dyDescent="0.3">
      <c r="A23" s="4" t="s">
        <v>28</v>
      </c>
      <c r="B23" s="11">
        <v>237.13</v>
      </c>
      <c r="C23" s="11">
        <v>494.67</v>
      </c>
      <c r="D23" s="11">
        <v>219.55</v>
      </c>
      <c r="E23" s="11">
        <f>237.19+17.74</f>
        <v>254.93</v>
      </c>
      <c r="F23" s="11">
        <v>208.3</v>
      </c>
      <c r="G23" s="11">
        <f>225.71+36.95</f>
        <v>262.66000000000003</v>
      </c>
      <c r="H23" s="11">
        <v>206.47</v>
      </c>
      <c r="I23" s="11">
        <f>225.68+184.75</f>
        <v>410.43</v>
      </c>
      <c r="J23" s="11">
        <f>214.95+36.95</f>
        <v>251.89999999999998</v>
      </c>
      <c r="K23" s="11">
        <f>302.74+36.95+36.95+106.44</f>
        <v>483.08</v>
      </c>
      <c r="L23" s="11">
        <f>307.16+36.95+17.74</f>
        <v>361.85</v>
      </c>
      <c r="M23" s="11">
        <f>247.52+36.95+17.74</f>
        <v>302.21000000000004</v>
      </c>
      <c r="N23" s="11">
        <f t="shared" si="9"/>
        <v>3693.18</v>
      </c>
    </row>
    <row r="24" spans="1:15" ht="26.25" customHeight="1" thickBot="1" x14ac:dyDescent="0.3">
      <c r="A24" s="4" t="s">
        <v>15</v>
      </c>
      <c r="B24" s="14">
        <v>600</v>
      </c>
      <c r="C24" s="14">
        <v>600</v>
      </c>
      <c r="D24" s="14">
        <v>740</v>
      </c>
      <c r="E24" s="14">
        <v>600</v>
      </c>
      <c r="F24" s="14">
        <v>600</v>
      </c>
      <c r="G24" s="14">
        <v>600</v>
      </c>
      <c r="H24" s="14">
        <v>600</v>
      </c>
      <c r="I24" s="14">
        <v>600</v>
      </c>
      <c r="J24" s="14">
        <v>600</v>
      </c>
      <c r="K24" s="11">
        <v>1290</v>
      </c>
      <c r="L24" s="11">
        <v>800</v>
      </c>
      <c r="M24" s="11">
        <v>800</v>
      </c>
      <c r="N24" s="11">
        <f t="shared" si="9"/>
        <v>8430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4">3457.7*0.55</f>
        <v>1901.7350000000001</v>
      </c>
      <c r="C26" s="11">
        <f t="shared" si="14"/>
        <v>1901.7350000000001</v>
      </c>
      <c r="D26" s="11">
        <f t="shared" si="14"/>
        <v>1901.7350000000001</v>
      </c>
      <c r="E26" s="11">
        <f t="shared" si="14"/>
        <v>1901.7350000000001</v>
      </c>
      <c r="F26" s="11">
        <f t="shared" si="14"/>
        <v>1901.7350000000001</v>
      </c>
      <c r="G26" s="11">
        <f t="shared" si="14"/>
        <v>1901.7350000000001</v>
      </c>
      <c r="H26" s="11">
        <f t="shared" si="14"/>
        <v>1901.7350000000001</v>
      </c>
      <c r="I26" s="11">
        <f t="shared" si="14"/>
        <v>1901.7350000000001</v>
      </c>
      <c r="J26" s="11">
        <f t="shared" si="14"/>
        <v>1901.7350000000001</v>
      </c>
      <c r="K26" s="11">
        <f t="shared" si="14"/>
        <v>1901.7350000000001</v>
      </c>
      <c r="L26" s="11">
        <f t="shared" si="14"/>
        <v>1901.7350000000001</v>
      </c>
      <c r="M26" s="11">
        <f t="shared" si="14"/>
        <v>1901.7350000000001</v>
      </c>
      <c r="N26" s="11">
        <f t="shared" ref="N26:N40" si="15">SUM(B26:M26)</f>
        <v>22820.820000000003</v>
      </c>
    </row>
    <row r="27" spans="1:15" ht="22.5" customHeight="1" thickBot="1" x14ac:dyDescent="0.3">
      <c r="A27" s="4" t="s">
        <v>2</v>
      </c>
      <c r="B27" s="11">
        <f t="shared" ref="B27:M27" si="16">3457.7*0.17</f>
        <v>587.80899999999997</v>
      </c>
      <c r="C27" s="11">
        <f t="shared" si="16"/>
        <v>587.80899999999997</v>
      </c>
      <c r="D27" s="11">
        <f t="shared" si="16"/>
        <v>587.80899999999997</v>
      </c>
      <c r="E27" s="11">
        <f t="shared" si="16"/>
        <v>587.80899999999997</v>
      </c>
      <c r="F27" s="11">
        <f t="shared" si="16"/>
        <v>587.80899999999997</v>
      </c>
      <c r="G27" s="11">
        <f t="shared" si="16"/>
        <v>587.80899999999997</v>
      </c>
      <c r="H27" s="11">
        <f t="shared" si="16"/>
        <v>587.80899999999997</v>
      </c>
      <c r="I27" s="11">
        <f t="shared" si="16"/>
        <v>587.80899999999997</v>
      </c>
      <c r="J27" s="11">
        <f t="shared" si="16"/>
        <v>587.80899999999997</v>
      </c>
      <c r="K27" s="11">
        <f t="shared" si="16"/>
        <v>587.80899999999997</v>
      </c>
      <c r="L27" s="11">
        <f t="shared" si="16"/>
        <v>587.80899999999997</v>
      </c>
      <c r="M27" s="11">
        <f t="shared" si="16"/>
        <v>587.80899999999997</v>
      </c>
      <c r="N27" s="11">
        <f t="shared" si="15"/>
        <v>7053.7080000000014</v>
      </c>
    </row>
    <row r="28" spans="1:15" ht="21" customHeight="1" thickBot="1" x14ac:dyDescent="0.3">
      <c r="A28" s="4" t="s">
        <v>3</v>
      </c>
      <c r="B28" s="11">
        <f>53808.16*2.3%</f>
        <v>1237.5876800000001</v>
      </c>
      <c r="C28" s="11">
        <f>56630.71*2.3%</f>
        <v>1302.5063299999999</v>
      </c>
      <c r="D28" s="11">
        <f>52023.43*2.3%</f>
        <v>1196.53889</v>
      </c>
      <c r="E28" s="11">
        <f>55348.83*2.3%</f>
        <v>1273.0230899999999</v>
      </c>
      <c r="F28" s="11">
        <f>59976.64*2.3%</f>
        <v>1379.46272</v>
      </c>
      <c r="G28" s="11">
        <f>51452.2*2.3%</f>
        <v>1183.4005999999999</v>
      </c>
      <c r="H28" s="11">
        <f>61206.3*2.3%</f>
        <v>1407.7449000000001</v>
      </c>
      <c r="I28" s="11">
        <f>59361.34*2.3%</f>
        <v>1365.3108199999999</v>
      </c>
      <c r="J28" s="11">
        <f>61946.22*2.3%</f>
        <v>1424.76306</v>
      </c>
      <c r="K28" s="11">
        <f>62371.23*2.3%</f>
        <v>1434.53829</v>
      </c>
      <c r="L28" s="11">
        <f>59361.34*2.3%</f>
        <v>1365.3108199999999</v>
      </c>
      <c r="M28" s="11">
        <f>60920.12*2.3%</f>
        <v>1401.1627599999999</v>
      </c>
      <c r="N28" s="11">
        <f t="shared" si="15"/>
        <v>15971.34996</v>
      </c>
    </row>
    <row r="29" spans="1:15" ht="23.25" customHeight="1" thickBot="1" x14ac:dyDescent="0.3">
      <c r="A29" s="4" t="s">
        <v>4</v>
      </c>
      <c r="B29" s="11">
        <f>44817.71*3%</f>
        <v>1344.5312999999999</v>
      </c>
      <c r="C29" s="11">
        <f>91887.77*3%</f>
        <v>2756.6331</v>
      </c>
      <c r="D29" s="11">
        <f>52353.99*3%</f>
        <v>1570.6197</v>
      </c>
      <c r="E29" s="11">
        <f>55349.01*3%</f>
        <v>1660.4703</v>
      </c>
      <c r="F29" s="11">
        <f>50350.65*3%</f>
        <v>1510.5194999999999</v>
      </c>
      <c r="G29" s="11">
        <f>56924.09*3%</f>
        <v>1707.7226999999998</v>
      </c>
      <c r="H29" s="11">
        <f>45547.5*3%</f>
        <v>1366.425</v>
      </c>
      <c r="I29" s="11">
        <f>58266.49*3%</f>
        <v>1747.9947</v>
      </c>
      <c r="J29" s="11">
        <f>54974.93*3%</f>
        <v>1649.2478999999998</v>
      </c>
      <c r="K29" s="11">
        <f>76723.01*3%</f>
        <v>2301.6902999999998</v>
      </c>
      <c r="L29" s="11">
        <f>78364.99*3%</f>
        <v>2350.9497000000001</v>
      </c>
      <c r="M29" s="11">
        <f>63442.47*3%</f>
        <v>1903.2740999999999</v>
      </c>
      <c r="N29" s="11">
        <f t="shared" si="15"/>
        <v>21870.078299999997</v>
      </c>
    </row>
    <row r="30" spans="1:15" ht="23.25" customHeight="1" thickBot="1" x14ac:dyDescent="0.3">
      <c r="A30" s="4" t="s">
        <v>9</v>
      </c>
      <c r="B30" s="11">
        <v>25586.98</v>
      </c>
      <c r="C30" s="11">
        <v>25586.98</v>
      </c>
      <c r="D30" s="11">
        <v>25586.98</v>
      </c>
      <c r="E30" s="11">
        <v>25586.98</v>
      </c>
      <c r="F30" s="11">
        <v>25586.98</v>
      </c>
      <c r="G30" s="11">
        <v>25586.98</v>
      </c>
      <c r="H30" s="20">
        <f>3457.7*8.5</f>
        <v>29390.449999999997</v>
      </c>
      <c r="I30" s="20">
        <f t="shared" ref="I30:M30" si="17">3457.7*8.5</f>
        <v>29390.449999999997</v>
      </c>
      <c r="J30" s="20">
        <f t="shared" si="17"/>
        <v>29390.449999999997</v>
      </c>
      <c r="K30" s="20">
        <f t="shared" si="17"/>
        <v>29390.449999999997</v>
      </c>
      <c r="L30" s="20">
        <f t="shared" si="17"/>
        <v>29390.449999999997</v>
      </c>
      <c r="M30" s="20">
        <f t="shared" si="17"/>
        <v>29390.449999999997</v>
      </c>
      <c r="N30" s="11">
        <f t="shared" si="15"/>
        <v>329864.58000000007</v>
      </c>
    </row>
    <row r="31" spans="1:15" ht="26.25" customHeight="1" thickBot="1" x14ac:dyDescent="0.3">
      <c r="A31" s="4" t="s">
        <v>21</v>
      </c>
      <c r="B31" s="11">
        <f>5131.08+697.43</f>
        <v>5828.51</v>
      </c>
      <c r="C31" s="11">
        <f>1034.74+140.56</f>
        <v>1175.3</v>
      </c>
      <c r="D31" s="11">
        <f>2338.34+317.9</f>
        <v>2656.2400000000002</v>
      </c>
      <c r="E31" s="11">
        <f>9629.67+1308.98</f>
        <v>10938.65</v>
      </c>
      <c r="F31" s="11">
        <v>0</v>
      </c>
      <c r="G31" s="11">
        <v>0</v>
      </c>
      <c r="H31" s="11">
        <v>0</v>
      </c>
      <c r="I31" s="11">
        <v>0</v>
      </c>
      <c r="J31" s="11">
        <f>4396.91+613.35</f>
        <v>5010.26</v>
      </c>
      <c r="K31" s="11">
        <v>0</v>
      </c>
      <c r="L31" s="11">
        <f>1897.88+45.07</f>
        <v>1942.95</v>
      </c>
      <c r="M31" s="11">
        <f>3126.28+424.22</f>
        <v>3550.5</v>
      </c>
      <c r="N31" s="11">
        <f t="shared" si="15"/>
        <v>31102.41</v>
      </c>
    </row>
    <row r="32" spans="1:15" ht="26.25" customHeight="1" thickBot="1" x14ac:dyDescent="0.3">
      <c r="A32" s="4" t="s">
        <v>22</v>
      </c>
      <c r="B32" s="11">
        <v>205.02</v>
      </c>
      <c r="C32" s="11">
        <v>205.02</v>
      </c>
      <c r="D32" s="11">
        <v>205.02</v>
      </c>
      <c r="E32" s="11">
        <v>205.02</v>
      </c>
      <c r="F32" s="11">
        <v>205.02</v>
      </c>
      <c r="G32" s="11">
        <v>205.02</v>
      </c>
      <c r="H32" s="11">
        <v>217.63</v>
      </c>
      <c r="I32" s="11">
        <v>217.63</v>
      </c>
      <c r="J32" s="11">
        <v>217.63</v>
      </c>
      <c r="K32" s="11">
        <v>217.63</v>
      </c>
      <c r="L32" s="11">
        <v>217.63</v>
      </c>
      <c r="M32" s="11">
        <v>217.63</v>
      </c>
      <c r="N32" s="11">
        <f t="shared" si="15"/>
        <v>2535.9000000000005</v>
      </c>
    </row>
    <row r="33" spans="1:14" ht="26.25" customHeight="1" thickBot="1" x14ac:dyDescent="0.3">
      <c r="A33" s="4" t="s">
        <v>23</v>
      </c>
      <c r="B33" s="11">
        <v>1089.6600000000001</v>
      </c>
      <c r="C33" s="11">
        <v>0</v>
      </c>
      <c r="D33" s="11">
        <v>2664.09</v>
      </c>
      <c r="E33" s="11">
        <v>150.15</v>
      </c>
      <c r="F33" s="11">
        <v>463.31</v>
      </c>
      <c r="G33" s="11">
        <v>2312.31</v>
      </c>
      <c r="H33" s="11">
        <v>0</v>
      </c>
      <c r="I33" s="11">
        <v>3222.01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5"/>
        <v>9901.5300000000007</v>
      </c>
    </row>
    <row r="34" spans="1:14" ht="26.25" customHeight="1" thickBot="1" x14ac:dyDescent="0.3">
      <c r="A34" s="4" t="s">
        <v>28</v>
      </c>
      <c r="B34" s="11">
        <v>293.16000000000003</v>
      </c>
      <c r="C34" s="11">
        <v>293.16000000000003</v>
      </c>
      <c r="D34" s="11">
        <v>293.16000000000003</v>
      </c>
      <c r="E34" s="11">
        <v>293.16000000000003</v>
      </c>
      <c r="F34" s="11">
        <v>293.16000000000003</v>
      </c>
      <c r="G34" s="11">
        <v>293.16000000000003</v>
      </c>
      <c r="H34" s="11">
        <v>298.39999999999998</v>
      </c>
      <c r="I34" s="11">
        <v>298.39999999999998</v>
      </c>
      <c r="J34" s="11">
        <v>298.39999999999998</v>
      </c>
      <c r="K34" s="11">
        <v>298.39999999999998</v>
      </c>
      <c r="L34" s="11">
        <v>298.39999999999998</v>
      </c>
      <c r="M34" s="11">
        <v>298.39999999999998</v>
      </c>
      <c r="N34" s="11">
        <f t="shared" si="15"/>
        <v>3549.3600000000006</v>
      </c>
    </row>
    <row r="35" spans="1:14" ht="22.5" customHeight="1" thickBot="1" x14ac:dyDescent="0.3">
      <c r="A35" s="4" t="s">
        <v>6</v>
      </c>
      <c r="B35" s="11">
        <f>3457.7*2.34</f>
        <v>8091.0179999999991</v>
      </c>
      <c r="C35" s="11">
        <f t="shared" ref="C35:G35" si="18">3457.7*2.34</f>
        <v>8091.0179999999991</v>
      </c>
      <c r="D35" s="11">
        <f t="shared" si="18"/>
        <v>8091.0179999999991</v>
      </c>
      <c r="E35" s="11">
        <f t="shared" si="18"/>
        <v>8091.0179999999991</v>
      </c>
      <c r="F35" s="11">
        <f t="shared" si="18"/>
        <v>8091.0179999999991</v>
      </c>
      <c r="G35" s="11">
        <f t="shared" si="18"/>
        <v>8091.0179999999991</v>
      </c>
      <c r="H35" s="11">
        <f>3457.7*2.79</f>
        <v>9646.9830000000002</v>
      </c>
      <c r="I35" s="11">
        <f t="shared" ref="I35:M35" si="19">3457.7*2.79</f>
        <v>9646.9830000000002</v>
      </c>
      <c r="J35" s="11">
        <f t="shared" si="19"/>
        <v>9646.9830000000002</v>
      </c>
      <c r="K35" s="11">
        <f t="shared" si="19"/>
        <v>9646.9830000000002</v>
      </c>
      <c r="L35" s="11">
        <f t="shared" si="19"/>
        <v>9646.9830000000002</v>
      </c>
      <c r="M35" s="11">
        <f t="shared" si="19"/>
        <v>9646.9830000000002</v>
      </c>
      <c r="N35" s="11">
        <f t="shared" si="15"/>
        <v>106428.00600000002</v>
      </c>
    </row>
    <row r="36" spans="1:14" ht="21.75" customHeight="1" thickBot="1" x14ac:dyDescent="0.3">
      <c r="A36" s="4" t="s">
        <v>27</v>
      </c>
      <c r="B36" s="11">
        <v>4700</v>
      </c>
      <c r="C36" s="11">
        <v>5400</v>
      </c>
      <c r="D36" s="11">
        <v>5700</v>
      </c>
      <c r="E36" s="11">
        <v>6180</v>
      </c>
      <c r="F36" s="11">
        <v>6480</v>
      </c>
      <c r="G36" s="11">
        <v>5617</v>
      </c>
      <c r="H36" s="11">
        <v>5500</v>
      </c>
      <c r="I36" s="11">
        <v>6240</v>
      </c>
      <c r="J36" s="11">
        <v>6485</v>
      </c>
      <c r="K36" s="11">
        <v>8210</v>
      </c>
      <c r="L36" s="11">
        <v>6860</v>
      </c>
      <c r="M36" s="11">
        <v>6110</v>
      </c>
      <c r="N36" s="11">
        <f t="shared" si="15"/>
        <v>73482</v>
      </c>
    </row>
    <row r="37" spans="1:14" ht="24.75" customHeight="1" thickBot="1" x14ac:dyDescent="0.3">
      <c r="A37" s="4" t="s">
        <v>26</v>
      </c>
      <c r="B37" s="11">
        <f>1140</f>
        <v>1140</v>
      </c>
      <c r="C37" s="11">
        <v>1140</v>
      </c>
      <c r="D37" s="11">
        <v>1140</v>
      </c>
      <c r="E37" s="11">
        <v>1140</v>
      </c>
      <c r="F37" s="11">
        <v>1140</v>
      </c>
      <c r="G37" s="11">
        <v>1140</v>
      </c>
      <c r="H37" s="11">
        <f>1140</f>
        <v>1140</v>
      </c>
      <c r="I37" s="11">
        <f>1140</f>
        <v>1140</v>
      </c>
      <c r="J37" s="11">
        <f>1140</f>
        <v>1140</v>
      </c>
      <c r="K37" s="11">
        <f>1140</f>
        <v>1140</v>
      </c>
      <c r="L37" s="11">
        <f>1140</f>
        <v>1140</v>
      </c>
      <c r="M37" s="11">
        <f>1140</f>
        <v>1140</v>
      </c>
      <c r="N37" s="11">
        <f t="shared" si="15"/>
        <v>13680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11530.51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5"/>
        <v>11530.51</v>
      </c>
    </row>
    <row r="39" spans="1:14" ht="24" customHeight="1" thickBot="1" x14ac:dyDescent="0.3">
      <c r="A39" s="4" t="s">
        <v>10</v>
      </c>
      <c r="B39" s="11">
        <f>75+1633.4</f>
        <v>1708.4</v>
      </c>
      <c r="C39" s="11">
        <f>75</f>
        <v>75</v>
      </c>
      <c r="D39" s="11">
        <f>452.5+1320.2+1353.1</f>
        <v>3125.8</v>
      </c>
      <c r="E39" s="11">
        <f>366.36+10436</f>
        <v>10802.36</v>
      </c>
      <c r="F39" s="11">
        <f>1813.6+4585</f>
        <v>6398.6</v>
      </c>
      <c r="G39" s="11">
        <f>28500+373+1721.4+3556.6+2688+538.6+923.8</f>
        <v>38301.4</v>
      </c>
      <c r="H39" s="11">
        <f>3143.5</f>
        <v>3143.5</v>
      </c>
      <c r="I39" s="11">
        <f>75+8661.3+9698.4</f>
        <v>18434.699999999997</v>
      </c>
      <c r="J39" s="11">
        <f>75+1141.6</f>
        <v>1216.5999999999999</v>
      </c>
      <c r="K39" s="11">
        <v>0</v>
      </c>
      <c r="L39" s="11">
        <v>0</v>
      </c>
      <c r="M39" s="11">
        <f>1920+1273.3+7337+1077.2+3850.6+20453.6</f>
        <v>35911.699999999997</v>
      </c>
      <c r="N39" s="11">
        <f t="shared" si="15"/>
        <v>119118.06000000001</v>
      </c>
    </row>
    <row r="40" spans="1:14" ht="22.5" customHeight="1" thickBot="1" x14ac:dyDescent="0.3">
      <c r="A40" s="9" t="s">
        <v>24</v>
      </c>
      <c r="B40" s="10">
        <f t="shared" ref="B40:M40" si="20">SUM(B26:B39)</f>
        <v>53714.410980000001</v>
      </c>
      <c r="C40" s="10">
        <f t="shared" si="20"/>
        <v>48515.16143</v>
      </c>
      <c r="D40" s="10">
        <f t="shared" si="20"/>
        <v>54719.010590000005</v>
      </c>
      <c r="E40" s="10">
        <f t="shared" si="20"/>
        <v>68810.375390000001</v>
      </c>
      <c r="F40" s="10">
        <f t="shared" si="20"/>
        <v>54037.614219999996</v>
      </c>
      <c r="G40" s="10">
        <f t="shared" si="20"/>
        <v>86927.555300000007</v>
      </c>
      <c r="H40" s="10">
        <f t="shared" si="20"/>
        <v>66131.186900000001</v>
      </c>
      <c r="I40" s="10">
        <f t="shared" si="20"/>
        <v>74193.022519999999</v>
      </c>
      <c r="J40" s="10">
        <f t="shared" si="20"/>
        <v>58968.877959999998</v>
      </c>
      <c r="K40" s="10">
        <f t="shared" si="20"/>
        <v>55129.235589999997</v>
      </c>
      <c r="L40" s="10">
        <f t="shared" si="20"/>
        <v>55702.217519999991</v>
      </c>
      <c r="M40" s="10">
        <f t="shared" si="20"/>
        <v>92059.643859999982</v>
      </c>
      <c r="N40" s="10">
        <f t="shared" si="15"/>
        <v>768908.3122599998</v>
      </c>
    </row>
    <row r="41" spans="1:14" ht="23.25" customHeight="1" thickBot="1" x14ac:dyDescent="0.3">
      <c r="A41" s="4" t="s">
        <v>5</v>
      </c>
      <c r="B41" s="18">
        <f t="shared" ref="B41:N41" si="21">B16-B40</f>
        <v>-704.69098000000668</v>
      </c>
      <c r="C41" s="18">
        <f t="shared" si="21"/>
        <v>63057.498569999989</v>
      </c>
      <c r="D41" s="18">
        <f t="shared" si="21"/>
        <v>-5893.7605900000126</v>
      </c>
      <c r="E41" s="18">
        <f t="shared" si="21"/>
        <v>-9048.4353900000133</v>
      </c>
      <c r="F41" s="18">
        <f t="shared" si="21"/>
        <v>-3086.9642199999871</v>
      </c>
      <c r="G41" s="18">
        <f t="shared" si="21"/>
        <v>-21866.875300000014</v>
      </c>
      <c r="H41" s="18">
        <f t="shared" si="21"/>
        <v>-19983.686900000008</v>
      </c>
      <c r="I41" s="18">
        <f t="shared" si="21"/>
        <v>25663.597479999982</v>
      </c>
      <c r="J41" s="18">
        <f t="shared" si="21"/>
        <v>5362.052039999995</v>
      </c>
      <c r="K41" s="18">
        <f t="shared" si="21"/>
        <v>64576.834409999996</v>
      </c>
      <c r="L41" s="18">
        <f t="shared" si="21"/>
        <v>37438.962480000017</v>
      </c>
      <c r="M41" s="18">
        <f t="shared" si="21"/>
        <v>-14804.643859999996</v>
      </c>
      <c r="N41" s="11">
        <f t="shared" si="21"/>
        <v>120709.88774000015</v>
      </c>
    </row>
    <row r="42" spans="1:14" ht="23.25" customHeight="1" thickBot="1" x14ac:dyDescent="0.3">
      <c r="A42" s="4" t="s">
        <v>7</v>
      </c>
      <c r="B42" s="14">
        <f t="shared" ref="B42:N42" si="22">B5+B41</f>
        <v>-514852.46098000003</v>
      </c>
      <c r="C42" s="14">
        <f t="shared" si="22"/>
        <v>-451794.96241000004</v>
      </c>
      <c r="D42" s="14">
        <f t="shared" si="22"/>
        <v>-457688.72300000006</v>
      </c>
      <c r="E42" s="14">
        <f t="shared" si="22"/>
        <v>-466737.15839000006</v>
      </c>
      <c r="F42" s="14">
        <f t="shared" si="22"/>
        <v>-469824.12261000002</v>
      </c>
      <c r="G42" s="14">
        <f t="shared" si="22"/>
        <v>-491690.99791000003</v>
      </c>
      <c r="H42" s="14">
        <f t="shared" si="22"/>
        <v>-511674.68481000006</v>
      </c>
      <c r="I42" s="14">
        <f t="shared" si="22"/>
        <v>-486011.08733000007</v>
      </c>
      <c r="J42" s="14">
        <f t="shared" si="22"/>
        <v>-480649.03529000009</v>
      </c>
      <c r="K42" s="14">
        <f t="shared" si="22"/>
        <v>-416072.20088000008</v>
      </c>
      <c r="L42" s="14">
        <f t="shared" si="22"/>
        <v>-378633.23840000003</v>
      </c>
      <c r="M42" s="14">
        <f t="shared" si="22"/>
        <v>-393437.88226000004</v>
      </c>
      <c r="N42" s="14">
        <f t="shared" si="22"/>
        <v>-393437.88225999987</v>
      </c>
    </row>
    <row r="43" spans="1:14" ht="27" customHeight="1" thickBot="1" x14ac:dyDescent="0.3">
      <c r="A43" s="15" t="s">
        <v>11</v>
      </c>
      <c r="B43" s="19">
        <f t="shared" ref="B43:D43" si="23">B6+B16-B7</f>
        <v>-137563.83000000002</v>
      </c>
      <c r="C43" s="19">
        <f t="shared" si="23"/>
        <v>-95558.080000000031</v>
      </c>
      <c r="D43" s="19">
        <f t="shared" si="23"/>
        <v>-110579.14000000004</v>
      </c>
      <c r="E43" s="19">
        <f>E6+E16-E7</f>
        <v>-119064.08000000006</v>
      </c>
      <c r="F43" s="19">
        <f>F6+F16-F7</f>
        <v>-142123.02000000008</v>
      </c>
      <c r="G43" s="19">
        <f>G6+G16-G7</f>
        <v>-140448.53000000009</v>
      </c>
      <c r="H43" s="19">
        <f t="shared" ref="H43:M43" si="24">H6+H16-H7</f>
        <v>-169847.94000000009</v>
      </c>
      <c r="I43" s="19">
        <f t="shared" si="24"/>
        <v>-143235.19000000012</v>
      </c>
      <c r="J43" s="19">
        <f t="shared" si="24"/>
        <v>-155368.85000000012</v>
      </c>
      <c r="K43" s="19">
        <f t="shared" si="24"/>
        <v>-112866.89000000013</v>
      </c>
      <c r="L43" s="19">
        <f t="shared" si="24"/>
        <v>-92969.580000000118</v>
      </c>
      <c r="M43" s="19">
        <f t="shared" si="24"/>
        <v>-90900.100000000122</v>
      </c>
      <c r="N43" s="17">
        <f t="shared" ref="N43" si="25">N6+N16-N7</f>
        <v>-90900.099999999977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2022-03-17T04:41:10Z</cp:lastPrinted>
  <dcterms:created xsi:type="dcterms:W3CDTF">2011-06-06T03:25:48Z</dcterms:created>
  <dcterms:modified xsi:type="dcterms:W3CDTF">2022-03-17T04:55:48Z</dcterms:modified>
</cp:coreProperties>
</file>