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 activeTab="2"/>
  </bookViews>
  <sheets>
    <sheet name="21" sheetId="1" r:id="rId1"/>
    <sheet name="21а" sheetId="2" r:id="rId2"/>
    <sheet name="2021" sheetId="3" r:id="rId3"/>
  </sheets>
  <calcPr calcId="144525" refMode="R1C1"/>
</workbook>
</file>

<file path=xl/calcChain.xml><?xml version="1.0" encoding="utf-8"?>
<calcChain xmlns="http://schemas.openxmlformats.org/spreadsheetml/2006/main">
  <c r="M24" i="3" l="1"/>
  <c r="M22" i="3"/>
  <c r="M21" i="3"/>
  <c r="M23" i="3"/>
  <c r="M15" i="3"/>
  <c r="M13" i="3"/>
  <c r="M12" i="3"/>
  <c r="M14" i="3"/>
  <c r="M19" i="3"/>
  <c r="M10" i="3"/>
  <c r="L24" i="3"/>
  <c r="L20" i="3"/>
  <c r="L22" i="3"/>
  <c r="L23" i="3"/>
  <c r="L15" i="3"/>
  <c r="L13" i="3"/>
  <c r="L12" i="3"/>
  <c r="L14" i="3"/>
  <c r="L10" i="3"/>
  <c r="K24" i="3"/>
  <c r="K22" i="3"/>
  <c r="K21" i="3"/>
  <c r="K23" i="3"/>
  <c r="K15" i="3"/>
  <c r="K11" i="3"/>
  <c r="K13" i="3"/>
  <c r="K14" i="3"/>
  <c r="K10" i="3"/>
  <c r="M39" i="3" l="1"/>
  <c r="M38" i="3" l="1"/>
  <c r="L38" i="3"/>
  <c r="K38" i="3"/>
  <c r="M34" i="3" l="1"/>
  <c r="L34" i="3"/>
  <c r="K34" i="3"/>
  <c r="M33" i="3"/>
  <c r="L33" i="3"/>
  <c r="K33" i="3"/>
  <c r="M32" i="3"/>
  <c r="L32" i="3"/>
  <c r="K32" i="3"/>
  <c r="K39" i="3" l="1"/>
  <c r="M30" i="3" l="1"/>
  <c r="M18" i="3"/>
  <c r="M29" i="3"/>
  <c r="M9" i="3"/>
  <c r="L30" i="3" l="1"/>
  <c r="L18" i="3"/>
  <c r="L29" i="3"/>
  <c r="L9" i="3"/>
  <c r="K30" i="3" l="1"/>
  <c r="K18" i="3"/>
  <c r="K29" i="3"/>
  <c r="K9" i="3"/>
  <c r="M36" i="3" l="1"/>
  <c r="K36" i="3"/>
  <c r="L36" i="3"/>
  <c r="K31" i="3"/>
  <c r="L31" i="3"/>
  <c r="M31" i="3"/>
  <c r="K28" i="3"/>
  <c r="L28" i="3"/>
  <c r="M28" i="3"/>
  <c r="K27" i="3"/>
  <c r="L27" i="3"/>
  <c r="M27" i="3"/>
  <c r="J9" i="3" l="1"/>
  <c r="J24" i="3"/>
  <c r="J22" i="3"/>
  <c r="J21" i="3"/>
  <c r="J23" i="3"/>
  <c r="J15" i="3"/>
  <c r="J13" i="3"/>
  <c r="J12" i="3"/>
  <c r="J14" i="3"/>
  <c r="J19" i="3"/>
  <c r="J10" i="3"/>
  <c r="I24" i="3"/>
  <c r="I22" i="3"/>
  <c r="I21" i="3"/>
  <c r="I23" i="3"/>
  <c r="I35" i="3"/>
  <c r="I15" i="3"/>
  <c r="I13" i="3"/>
  <c r="I12" i="3"/>
  <c r="I14" i="3"/>
  <c r="I19" i="3"/>
  <c r="I10" i="3"/>
  <c r="H24" i="3"/>
  <c r="H20" i="3"/>
  <c r="H22" i="3"/>
  <c r="H23" i="3"/>
  <c r="H15" i="3"/>
  <c r="H13" i="3"/>
  <c r="H12" i="3"/>
  <c r="H14" i="3"/>
  <c r="H19" i="3"/>
  <c r="H10" i="3"/>
  <c r="I36" i="3" l="1"/>
  <c r="J36" i="3"/>
  <c r="H36" i="3"/>
  <c r="C36" i="3"/>
  <c r="D36" i="3"/>
  <c r="E36" i="3"/>
  <c r="F36" i="3"/>
  <c r="G36" i="3"/>
  <c r="B36" i="3"/>
  <c r="I39" i="3" l="1"/>
  <c r="J39" i="3" l="1"/>
  <c r="J34" i="3" l="1"/>
  <c r="I34" i="3"/>
  <c r="H34" i="3"/>
  <c r="J33" i="3"/>
  <c r="I33" i="3"/>
  <c r="H33" i="3"/>
  <c r="J32" i="3"/>
  <c r="I32" i="3"/>
  <c r="H32" i="3"/>
  <c r="J38" i="3" l="1"/>
  <c r="I38" i="3"/>
  <c r="H38" i="3"/>
  <c r="I31" i="3" l="1"/>
  <c r="J31" i="3"/>
  <c r="H31" i="3"/>
  <c r="J30" i="3" l="1"/>
  <c r="J18" i="3"/>
  <c r="J29" i="3"/>
  <c r="H39" i="3" l="1"/>
  <c r="I30" i="3" l="1"/>
  <c r="I18" i="3"/>
  <c r="I29" i="3"/>
  <c r="I9" i="3"/>
  <c r="H30" i="3" l="1"/>
  <c r="H18" i="3"/>
  <c r="H29" i="3"/>
  <c r="H9" i="3"/>
  <c r="H28" i="3" l="1"/>
  <c r="I28" i="3"/>
  <c r="J28" i="3"/>
  <c r="H27" i="3"/>
  <c r="I27" i="3"/>
  <c r="J27" i="3"/>
  <c r="G24" i="3" l="1"/>
  <c r="G22" i="3"/>
  <c r="G23" i="3"/>
  <c r="G15" i="3"/>
  <c r="G11" i="3"/>
  <c r="G13" i="3"/>
  <c r="G14" i="3"/>
  <c r="G10" i="3"/>
  <c r="F24" i="3"/>
  <c r="F22" i="3"/>
  <c r="F23" i="3"/>
  <c r="F15" i="3"/>
  <c r="F13" i="3"/>
  <c r="F14" i="3"/>
  <c r="F10" i="3"/>
  <c r="E24" i="3"/>
  <c r="E22" i="3"/>
  <c r="E23" i="3"/>
  <c r="E15" i="3"/>
  <c r="E13" i="3"/>
  <c r="E14" i="3"/>
  <c r="E19" i="3"/>
  <c r="E10" i="3"/>
  <c r="G39" i="3" l="1"/>
  <c r="F38" i="3" l="1"/>
  <c r="E38" i="3"/>
  <c r="G34" i="3" l="1"/>
  <c r="F34" i="3"/>
  <c r="E34" i="3"/>
  <c r="G33" i="3"/>
  <c r="F33" i="3"/>
  <c r="E33" i="3"/>
  <c r="G32" i="3"/>
  <c r="F32" i="3"/>
  <c r="E32" i="3"/>
  <c r="G30" i="3" l="1"/>
  <c r="G18" i="3"/>
  <c r="G29" i="3"/>
  <c r="G9" i="3"/>
  <c r="F30" i="3" l="1"/>
  <c r="F18" i="3"/>
  <c r="F29" i="3"/>
  <c r="F9" i="3"/>
  <c r="F39" i="3" l="1"/>
  <c r="E30" i="3" l="1"/>
  <c r="E18" i="3"/>
  <c r="E29" i="3"/>
  <c r="E9" i="3"/>
  <c r="E39" i="3" l="1"/>
  <c r="D38" i="3" l="1"/>
  <c r="D39" i="3"/>
  <c r="E35" i="3"/>
  <c r="F35" i="3"/>
  <c r="G35" i="3"/>
  <c r="E28" i="3"/>
  <c r="F28" i="3"/>
  <c r="G28" i="3"/>
  <c r="E27" i="3"/>
  <c r="F27" i="3"/>
  <c r="G27" i="3"/>
  <c r="D28" i="3"/>
  <c r="D29" i="3"/>
  <c r="D30" i="3"/>
  <c r="D32" i="3"/>
  <c r="D33" i="3"/>
  <c r="D34" i="3"/>
  <c r="D35" i="3"/>
  <c r="C34" i="3" l="1"/>
  <c r="B34" i="3"/>
  <c r="C33" i="3"/>
  <c r="B33" i="3"/>
  <c r="C32" i="3"/>
  <c r="B32" i="3"/>
  <c r="C38" i="3" l="1"/>
  <c r="B38" i="3"/>
  <c r="D18" i="3" l="1"/>
  <c r="D9" i="3"/>
  <c r="C39" i="3" l="1"/>
  <c r="C30" i="3" l="1"/>
  <c r="C18" i="3"/>
  <c r="C29" i="3"/>
  <c r="C9" i="3"/>
  <c r="B30" i="3" l="1"/>
  <c r="B18" i="3"/>
  <c r="B29" i="3"/>
  <c r="B9" i="3"/>
  <c r="B39" i="3" l="1"/>
  <c r="C35" i="3" l="1"/>
  <c r="B35" i="3"/>
  <c r="C28" i="3" l="1"/>
  <c r="C27" i="3"/>
  <c r="D27" i="3"/>
  <c r="B28" i="3"/>
  <c r="B27" i="3"/>
  <c r="N7" i="3" l="1"/>
  <c r="N6" i="3"/>
  <c r="N28" i="3"/>
  <c r="N27" i="3"/>
  <c r="N25" i="3"/>
  <c r="N19" i="3"/>
  <c r="N16" i="3"/>
  <c r="N10" i="3"/>
  <c r="N31" i="3" l="1"/>
  <c r="N32" i="3"/>
  <c r="N35" i="3"/>
  <c r="N36" i="3"/>
  <c r="N37" i="3"/>
  <c r="N38" i="3"/>
  <c r="K17" i="3"/>
  <c r="L17" i="3"/>
  <c r="M17" i="3"/>
  <c r="K8" i="3"/>
  <c r="L8" i="3"/>
  <c r="M8" i="3"/>
  <c r="N15" i="3"/>
  <c r="M40" i="3" l="1"/>
  <c r="M41" i="3" s="1"/>
  <c r="L40" i="3"/>
  <c r="L41" i="3" s="1"/>
  <c r="K40" i="3"/>
  <c r="K41" i="3" s="1"/>
  <c r="N14" i="3"/>
  <c r="H17" i="3" l="1"/>
  <c r="I17" i="3"/>
  <c r="J17" i="3"/>
  <c r="H8" i="3"/>
  <c r="I8" i="3"/>
  <c r="J8" i="3"/>
  <c r="N34" i="3"/>
  <c r="N33" i="3"/>
  <c r="I40" i="3" l="1"/>
  <c r="N11" i="3"/>
  <c r="N39" i="3"/>
  <c r="N12" i="3"/>
  <c r="N13" i="3"/>
  <c r="J40" i="3"/>
  <c r="H40" i="3"/>
  <c r="H41" i="3" s="1"/>
  <c r="N30" i="3"/>
  <c r="N29" i="3"/>
  <c r="G17" i="3"/>
  <c r="G8" i="3"/>
  <c r="N22" i="3"/>
  <c r="F8" i="3"/>
  <c r="N18" i="3"/>
  <c r="N20" i="3"/>
  <c r="N9" i="3"/>
  <c r="G40" i="3" l="1"/>
  <c r="G41" i="3" s="1"/>
  <c r="I41" i="3"/>
  <c r="N24" i="3"/>
  <c r="N21" i="3"/>
  <c r="N23" i="3"/>
  <c r="J41" i="3"/>
  <c r="E17" i="3"/>
  <c r="E8" i="3"/>
  <c r="F17" i="3"/>
  <c r="F40" i="3" l="1"/>
  <c r="F41" i="3" s="1"/>
  <c r="E40" i="3"/>
  <c r="E41" i="3" s="1"/>
  <c r="D17" i="3"/>
  <c r="D40" i="3" s="1"/>
  <c r="D41" i="3" s="1"/>
  <c r="D8" i="3"/>
  <c r="C8" i="3"/>
  <c r="C17" i="3"/>
  <c r="C40" i="3" l="1"/>
  <c r="B17" i="3"/>
  <c r="B8" i="3"/>
  <c r="N8" i="3" s="1"/>
  <c r="K39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3" i="2"/>
  <c r="K22" i="2"/>
  <c r="K21" i="2"/>
  <c r="K20" i="2"/>
  <c r="K19" i="2"/>
  <c r="K18" i="2"/>
  <c r="K17" i="2"/>
  <c r="J16" i="2"/>
  <c r="J38" i="2" s="1"/>
  <c r="J40" i="2" s="1"/>
  <c r="I16" i="2"/>
  <c r="I38" i="2" s="1"/>
  <c r="I40" i="2" s="1"/>
  <c r="I41" i="2" s="1"/>
  <c r="H16" i="2"/>
  <c r="G16" i="2"/>
  <c r="G38" i="2" s="1"/>
  <c r="G40" i="2" s="1"/>
  <c r="F16" i="2"/>
  <c r="F38" i="2" s="1"/>
  <c r="F40" i="2" s="1"/>
  <c r="E16" i="2"/>
  <c r="E38" i="2" s="1"/>
  <c r="E40" i="2" s="1"/>
  <c r="E41" i="2" s="1"/>
  <c r="D16" i="2"/>
  <c r="C16" i="2"/>
  <c r="C38" i="2" s="1"/>
  <c r="C40" i="2" s="1"/>
  <c r="B16" i="2"/>
  <c r="B38" i="2" s="1"/>
  <c r="K15" i="2"/>
  <c r="K14" i="2"/>
  <c r="K13" i="2"/>
  <c r="K12" i="2"/>
  <c r="K11" i="2"/>
  <c r="K10" i="2"/>
  <c r="K9" i="2"/>
  <c r="J8" i="2"/>
  <c r="I8" i="2"/>
  <c r="H8" i="2"/>
  <c r="G8" i="2"/>
  <c r="F8" i="2"/>
  <c r="E8" i="2"/>
  <c r="D8" i="2"/>
  <c r="C8" i="2"/>
  <c r="B8" i="2"/>
  <c r="N17" i="3" l="1"/>
  <c r="N43" i="3" s="1"/>
  <c r="N45" i="3" s="1"/>
  <c r="C41" i="3"/>
  <c r="K8" i="2"/>
  <c r="B43" i="2"/>
  <c r="C7" i="2" s="1"/>
  <c r="C43" i="2" s="1"/>
  <c r="D7" i="2" s="1"/>
  <c r="D43" i="2" s="1"/>
  <c r="E7" i="2" s="1"/>
  <c r="E43" i="2" s="1"/>
  <c r="F7" i="2" s="1"/>
  <c r="F43" i="2" s="1"/>
  <c r="G7" i="2" s="1"/>
  <c r="G43" i="2" s="1"/>
  <c r="H7" i="2" s="1"/>
  <c r="H43" i="2" s="1"/>
  <c r="I7" i="2" s="1"/>
  <c r="I43" i="2" s="1"/>
  <c r="J7" i="2" s="1"/>
  <c r="J43" i="2" s="1"/>
  <c r="F41" i="2"/>
  <c r="J41" i="2"/>
  <c r="B40" i="2"/>
  <c r="B41" i="2" s="1"/>
  <c r="B42" i="2" s="1"/>
  <c r="D38" i="2"/>
  <c r="D40" i="2" s="1"/>
  <c r="D41" i="2" s="1"/>
  <c r="H38" i="2"/>
  <c r="H40" i="2" s="1"/>
  <c r="H41" i="2" s="1"/>
  <c r="C41" i="2"/>
  <c r="G41" i="2"/>
  <c r="K16" i="2"/>
  <c r="B40" i="3" l="1"/>
  <c r="N40" i="3" s="1"/>
  <c r="K38" i="2"/>
  <c r="K40" i="2" s="1"/>
  <c r="K41" i="2" s="1"/>
  <c r="K42" i="2" s="1"/>
  <c r="C6" i="2"/>
  <c r="C42" i="2"/>
  <c r="K43" i="2"/>
  <c r="B41" i="3" l="1"/>
  <c r="B42" i="3" s="1"/>
  <c r="D42" i="2"/>
  <c r="D6" i="2"/>
  <c r="E6" i="2" l="1"/>
  <c r="E42" i="2"/>
  <c r="F42" i="2" l="1"/>
  <c r="F6" i="2"/>
  <c r="G6" i="2" l="1"/>
  <c r="G42" i="2"/>
  <c r="H42" i="2" l="1"/>
  <c r="H6" i="2"/>
  <c r="K36" i="1"/>
  <c r="K18" i="1"/>
  <c r="K39" i="1"/>
  <c r="K37" i="1"/>
  <c r="K35" i="1"/>
  <c r="K34" i="1"/>
  <c r="K33" i="1"/>
  <c r="K32" i="1"/>
  <c r="K31" i="1"/>
  <c r="K30" i="1"/>
  <c r="K29" i="1"/>
  <c r="K28" i="1"/>
  <c r="K27" i="1"/>
  <c r="K26" i="1"/>
  <c r="K25" i="1"/>
  <c r="K23" i="1"/>
  <c r="K15" i="1"/>
  <c r="J16" i="1"/>
  <c r="J38" i="1" s="1"/>
  <c r="K17" i="1"/>
  <c r="K22" i="1"/>
  <c r="K21" i="1"/>
  <c r="K20" i="1"/>
  <c r="K19" i="1"/>
  <c r="J8" i="1"/>
  <c r="K9" i="1"/>
  <c r="K10" i="1"/>
  <c r="K14" i="1"/>
  <c r="K13" i="1"/>
  <c r="K12" i="1"/>
  <c r="I16" i="1"/>
  <c r="I8" i="1"/>
  <c r="H16" i="1"/>
  <c r="H38" i="1" s="1"/>
  <c r="H8" i="1"/>
  <c r="J40" i="1" l="1"/>
  <c r="H40" i="1"/>
  <c r="H41" i="1" s="1"/>
  <c r="I42" i="2"/>
  <c r="I6" i="2"/>
  <c r="J41" i="1"/>
  <c r="I38" i="1"/>
  <c r="K11" i="1"/>
  <c r="G16" i="1"/>
  <c r="G8" i="1"/>
  <c r="F16" i="1"/>
  <c r="F38" i="1" s="1"/>
  <c r="F8" i="1"/>
  <c r="E16" i="1"/>
  <c r="E8" i="1"/>
  <c r="C16" i="1"/>
  <c r="D16" i="1"/>
  <c r="C8" i="1"/>
  <c r="B8" i="1"/>
  <c r="I40" i="1" l="1"/>
  <c r="I41" i="1" s="1"/>
  <c r="F40" i="1"/>
  <c r="F41" i="1" s="1"/>
  <c r="J42" i="2"/>
  <c r="J6" i="2"/>
  <c r="G38" i="1"/>
  <c r="E38" i="1"/>
  <c r="D38" i="1"/>
  <c r="D8" i="1"/>
  <c r="K8" i="1" s="1"/>
  <c r="C38" i="1"/>
  <c r="B16" i="1"/>
  <c r="K16" i="1" s="1"/>
  <c r="G40" i="1" l="1"/>
  <c r="G41" i="1" s="1"/>
  <c r="E40" i="1"/>
  <c r="E41" i="1" s="1"/>
  <c r="B38" i="1"/>
  <c r="C40" i="1"/>
  <c r="C41" i="1" s="1"/>
  <c r="D40" i="1"/>
  <c r="D41" i="1" s="1"/>
  <c r="B43" i="1"/>
  <c r="C7" i="1" s="1"/>
  <c r="K38" i="1" l="1"/>
  <c r="K40" i="1" s="1"/>
  <c r="C43" i="1"/>
  <c r="D7" i="1" s="1"/>
  <c r="B40" i="1"/>
  <c r="B41" i="1" s="1"/>
  <c r="B42" i="1" s="1"/>
  <c r="K43" i="1"/>
  <c r="N41" i="3" l="1"/>
  <c r="N42" i="3" s="1"/>
  <c r="D43" i="1"/>
  <c r="E7" i="1" s="1"/>
  <c r="K41" i="1"/>
  <c r="K42" i="1" s="1"/>
  <c r="E43" i="1" l="1"/>
  <c r="F7" i="1" s="1"/>
  <c r="C42" i="1"/>
  <c r="C6" i="1"/>
  <c r="C6" i="3" l="1"/>
  <c r="C42" i="3" s="1"/>
  <c r="F43" i="1"/>
  <c r="G7" i="1" s="1"/>
  <c r="D42" i="1"/>
  <c r="D6" i="1"/>
  <c r="D6" i="3" l="1"/>
  <c r="D42" i="3" s="1"/>
  <c r="G43" i="1"/>
  <c r="H7" i="1" s="1"/>
  <c r="E42" i="1"/>
  <c r="E6" i="1"/>
  <c r="E6" i="3" l="1"/>
  <c r="E42" i="3" s="1"/>
  <c r="H43" i="1"/>
  <c r="I7" i="1" s="1"/>
  <c r="F42" i="1"/>
  <c r="F6" i="1"/>
  <c r="F6" i="3" l="1"/>
  <c r="F42" i="3" s="1"/>
  <c r="I43" i="1"/>
  <c r="J7" i="1" s="1"/>
  <c r="G42" i="1"/>
  <c r="G6" i="1"/>
  <c r="G6" i="3" l="1"/>
  <c r="G42" i="3" s="1"/>
  <c r="J43" i="1"/>
  <c r="B43" i="3"/>
  <c r="C7" i="3" s="1"/>
  <c r="H6" i="1"/>
  <c r="H42" i="1"/>
  <c r="C43" i="3" l="1"/>
  <c r="D7" i="3" s="1"/>
  <c r="H6" i="3"/>
  <c r="H42" i="3" s="1"/>
  <c r="I6" i="1"/>
  <c r="I42" i="1"/>
  <c r="D43" i="3" l="1"/>
  <c r="E7" i="3" s="1"/>
  <c r="E43" i="3" s="1"/>
  <c r="F7" i="3" s="1"/>
  <c r="I6" i="3"/>
  <c r="I42" i="3" s="1"/>
  <c r="J42" i="1"/>
  <c r="J6" i="1"/>
  <c r="F43" i="3" l="1"/>
  <c r="G7" i="3" s="1"/>
  <c r="G43" i="3" s="1"/>
  <c r="J6" i="3"/>
  <c r="J42" i="3" s="1"/>
  <c r="H7" i="3" l="1"/>
  <c r="K6" i="3"/>
  <c r="K42" i="3" s="1"/>
  <c r="H43" i="3" l="1"/>
  <c r="I7" i="3" s="1"/>
  <c r="L6" i="3"/>
  <c r="L42" i="3" s="1"/>
  <c r="I43" i="3" l="1"/>
  <c r="J7" i="3" s="1"/>
  <c r="M6" i="3"/>
  <c r="M42" i="3" s="1"/>
  <c r="J43" i="3" l="1"/>
  <c r="K7" i="3" s="1"/>
  <c r="K43" i="3" l="1"/>
  <c r="L7" i="3" s="1"/>
  <c r="L43" i="3" l="1"/>
  <c r="M7" i="3" s="1"/>
  <c r="M43" i="3" s="1"/>
</calcChain>
</file>

<file path=xl/sharedStrings.xml><?xml version="1.0" encoding="utf-8"?>
<sst xmlns="http://schemas.openxmlformats.org/spreadsheetml/2006/main" count="158" uniqueCount="63">
  <si>
    <t>Наименование статей</t>
  </si>
  <si>
    <t>Захоронение ТБО, КГП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</si>
  <si>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</si>
  <si>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</si>
  <si>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</si>
  <si>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</si>
  <si>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Налог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</si>
  <si>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</si>
  <si>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</si>
  <si>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</si>
  <si>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</si>
  <si>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</si>
  <si>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</si>
  <si>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</si>
  <si>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</si>
  <si>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</si>
  <si>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</si>
  <si>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</si>
  <si>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Вывоз ТБО, КГП</t>
  </si>
  <si>
    <t>Содержание жилья и текущий ремонт /нежилые</t>
  </si>
  <si>
    <t>Содержание жилья и текущий ремонт, БО, ОПУ /жилые</t>
  </si>
  <si>
    <t>Январь 2017г.</t>
  </si>
  <si>
    <t>Февраль 2017г.</t>
  </si>
  <si>
    <t>Март 2017г.</t>
  </si>
  <si>
    <t>Всего:                       за  2017г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</si>
  <si>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</si>
  <si>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</si>
  <si>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</si>
  <si>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</si>
  <si>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</si>
  <si>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</si>
  <si>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 xml:space="preserve">                       ООО «Управляющая компания БАЯРД»</t>
  </si>
  <si>
    <t>Итого расходы</t>
  </si>
  <si>
    <t>РАСХОДЫ</t>
  </si>
  <si>
    <t>Апрель 2017г.</t>
  </si>
  <si>
    <t>Май 2017г.</t>
  </si>
  <si>
    <t>Июнь 2017г.</t>
  </si>
  <si>
    <t xml:space="preserve">                 ОТЧЕТ по дому Кутузова, 21 за период 01.01.2017г. по 30.09.2017г.</t>
  </si>
  <si>
    <t>Июль 2017г.</t>
  </si>
  <si>
    <t>Август 2017г.</t>
  </si>
  <si>
    <t>Сентябрь 2017г.</t>
  </si>
  <si>
    <t>Вознаграждение, координация с советом МКД</t>
  </si>
  <si>
    <t>Тех.обслуживание ОПУ ХВС</t>
  </si>
  <si>
    <t xml:space="preserve">                 ОТЧЕТ по дому Кутузова, 21А за период 01.01.2017г. по 30.09.2017г.</t>
  </si>
  <si>
    <t>Тех.обслуживание ОПУ ХВС, ГВС</t>
  </si>
  <si>
    <t>Отведение сточных вод ОИ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</si>
  <si>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</si>
  <si>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</si>
  <si>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</si>
  <si>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</si>
  <si>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</si>
  <si>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</si>
  <si>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</si>
  <si>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</si>
  <si>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</si>
  <si>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</t>
  </si>
  <si>
    <t>Ноябрь 2021г</t>
  </si>
  <si>
    <t>Декабрь 2021г</t>
  </si>
  <si>
    <t>Всего:                       за  2021г</t>
  </si>
  <si>
    <t>Корректировка задолженности по оплате по решению Арбитражного суда за предыдущие периоды</t>
  </si>
  <si>
    <t xml:space="preserve">            ОТЧЕТ по дому Кутузова, 21 за период 01.01.2021г. по 31.12.2021г.</t>
  </si>
  <si>
    <t>Содержание жилья и текущий ремонт,  ОПУ</t>
  </si>
  <si>
    <t xml:space="preserve">Содержание жилья и текущий ремонт,  ОПУ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</si>
</sst>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2" fontId="6" fillId="0" borderId="4" xfId="0" applyNumberFormat="1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2" fontId="1" fillId="4" borderId="4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2" fontId="6" fillId="0" borderId="6" xfId="0" applyNumberFormat="1" applyFont="1" applyBorder="1" applyAlignment="1">
      <alignment vertical="top" wrapText="1"/>
    </xf>
    <xf numFmtId="2" fontId="1" fillId="0" borderId="4" xfId="0" applyNumberFormat="1" applyFont="1" applyBorder="1" applyAlignment="1">
      <alignment vertical="top" wrapText="1"/>
    </xf>
    <xf numFmtId="0" fontId="0" fillId="0" borderId="0" xfId="0" applyBorder="1"/>
    <xf numFmtId="1" fontId="6" fillId="0" borderId="4" xfId="0" applyNumberFormat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2" fontId="6" fillId="0" borderId="8" xfId="0" applyNumberFormat="1" applyFont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164" fontId="10" fillId="2" borderId="4" xfId="0" applyNumberFormat="1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vertical="top" wrapText="1"/>
    </xf>
    <xf numFmtId="164" fontId="10" fillId="3" borderId="4" xfId="0" applyNumberFormat="1" applyFont="1" applyFill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0" fontId="10" fillId="4" borderId="3" xfId="0" applyFont="1" applyFill="1" applyBorder="1" applyAlignment="1">
      <alignment vertical="top" wrapText="1"/>
    </xf>
    <xf numFmtId="164" fontId="10" fillId="4" borderId="4" xfId="0" applyNumberFormat="1" applyFont="1" applyFill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164" fontId="10" fillId="0" borderId="5" xfId="0" applyNumberFormat="1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left" vertical="top" wrapText="1"/>
    </xf>
    <xf numFmtId="164" fontId="9" fillId="0" borderId="6" xfId="0" applyNumberFormat="1" applyFont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8" fillId="0" borderId="0" xfId="0" applyFont="1" applyAlignment="1"/>
    <xf numFmtId="0" fontId="10" fillId="0" borderId="7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zoomScale="75" workbookViewId="0">
      <selection activeCell="G7" sqref="G7"/>
    </sheetView>
  </sheetViews>
  <sheetFormatPr defaultRowHeight="13.2" x14ac:dyDescent="0.25"/>
  <cols>
    <col min="1" max="1" width="58.6640625" customWidth="1"/>
    <col min="2" max="2" width="13.6640625" customWidth="1"/>
    <col min="3" max="3" width="13.88671875" customWidth="1"/>
    <col min="4" max="10" width="13.5546875" customWidth="1"/>
    <col min="11" max="11" width="15.109375" customWidth="1"/>
  </cols>
  <sheetData>
    <row r="1" spans="1:15" ht="17.399999999999999" x14ac:dyDescent="0.3">
      <c r="A1" s="44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5" ht="20.25" customHeight="1" x14ac:dyDescent="0.35">
      <c r="A2" s="46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5" ht="7.5" customHeight="1" thickBot="1" x14ac:dyDescent="0.3">
      <c r="A3" s="1"/>
      <c r="O3" s="2"/>
    </row>
    <row r="4" spans="1:15" ht="3" hidden="1" customHeight="1" thickBot="1" x14ac:dyDescent="0.3">
      <c r="A4" s="1"/>
    </row>
    <row r="5" spans="1:15" ht="38.25" customHeight="1" thickBot="1" x14ac:dyDescent="0.3">
      <c r="A5" s="3" t="s">
        <v>0</v>
      </c>
      <c r="B5" s="4" t="s">
        <v>21</v>
      </c>
      <c r="C5" s="4" t="s">
        <v>22</v>
      </c>
      <c r="D5" s="4" t="s">
        <v>23</v>
      </c>
      <c r="E5" s="4" t="s">
        <v>34</v>
      </c>
      <c r="F5" s="4" t="s">
        <v>35</v>
      </c>
      <c r="G5" s="4" t="s">
        <v>36</v>
      </c>
      <c r="H5" s="4" t="s">
        <v>38</v>
      </c>
      <c r="I5" s="4" t="s">
        <v>39</v>
      </c>
      <c r="J5" s="4" t="s">
        <v>40</v>
      </c>
      <c r="K5" s="4" t="s">
        <v>24</v>
      </c>
    </row>
    <row r="6" spans="1:15" ht="23.25" customHeight="1" thickBot="1" x14ac:dyDescent="0.3">
      <c r="A6" s="5" t="s">
        <v>17</v>
      </c>
      <c r="B6" s="6">
        <v>-407831.27</v>
      </c>
      <c r="C6" s="6">
        <f t="shared" ref="C6:C7" si="0">B42</f>
        <v>-428557.6937</v>
      </c>
      <c r="D6" s="6">
        <f t="shared" ref="D6:G7" si="1">C42</f>
        <v>-435835.1053</v>
      </c>
      <c r="E6" s="6">
        <f t="shared" si="1"/>
        <v>-445634.54460000002</v>
      </c>
      <c r="F6" s="6">
        <f t="shared" si="1"/>
        <v>-454105.77600000001</v>
      </c>
      <c r="G6" s="6">
        <f t="shared" si="1"/>
        <v>-459294.68920000002</v>
      </c>
      <c r="H6" s="6">
        <f t="shared" ref="H6:J7" si="2">G42</f>
        <v>-456049.16600000003</v>
      </c>
      <c r="I6" s="6">
        <f t="shared" si="2"/>
        <v>-459322.26430000004</v>
      </c>
      <c r="J6" s="6">
        <f t="shared" si="2"/>
        <v>-453919.79260000004</v>
      </c>
      <c r="K6" s="6">
        <v>-407831.27</v>
      </c>
    </row>
    <row r="7" spans="1:15" ht="21" customHeight="1" thickBot="1" x14ac:dyDescent="0.3">
      <c r="A7" s="5" t="s">
        <v>15</v>
      </c>
      <c r="B7" s="6">
        <v>-398521.26</v>
      </c>
      <c r="C7" s="6">
        <f t="shared" si="0"/>
        <v>-412141.58</v>
      </c>
      <c r="D7" s="6">
        <f t="shared" si="1"/>
        <v>-429249.39</v>
      </c>
      <c r="E7" s="6">
        <f t="shared" si="1"/>
        <v>-443404.32</v>
      </c>
      <c r="F7" s="6">
        <f t="shared" si="1"/>
        <v>-440072.82</v>
      </c>
      <c r="G7" s="6">
        <f t="shared" si="1"/>
        <v>-455870.34</v>
      </c>
      <c r="H7" s="6">
        <f t="shared" si="2"/>
        <v>-465390.46</v>
      </c>
      <c r="I7" s="6">
        <f t="shared" si="2"/>
        <v>-487954.79</v>
      </c>
      <c r="J7" s="6">
        <f t="shared" si="2"/>
        <v>-485033.74</v>
      </c>
      <c r="K7" s="6">
        <v>-398521.26</v>
      </c>
    </row>
    <row r="8" spans="1:15" ht="20.25" customHeight="1" thickBot="1" x14ac:dyDescent="0.3">
      <c r="A8" s="7" t="s">
        <v>14</v>
      </c>
      <c r="B8" s="8">
        <f>SUM(B9:B15)</f>
        <v>35291.69</v>
      </c>
      <c r="C8" s="8">
        <f>SUM(C9:C15)</f>
        <v>45060.969999999994</v>
      </c>
      <c r="D8" s="8">
        <f t="shared" ref="D8" si="3">SUM(D9:D15)</f>
        <v>40485.86</v>
      </c>
      <c r="E8" s="8">
        <f t="shared" ref="E8:J8" si="4">SUM(E9:E15)</f>
        <v>40575.64</v>
      </c>
      <c r="F8" s="8">
        <f t="shared" si="4"/>
        <v>40565.840000000004</v>
      </c>
      <c r="G8" s="8">
        <f t="shared" si="4"/>
        <v>40903.800000000003</v>
      </c>
      <c r="H8" s="8">
        <f t="shared" si="4"/>
        <v>47187.159999999989</v>
      </c>
      <c r="I8" s="8">
        <f t="shared" si="4"/>
        <v>38189.78</v>
      </c>
      <c r="J8" s="8">
        <f t="shared" si="4"/>
        <v>40685.99</v>
      </c>
      <c r="K8" s="8">
        <f>SUM(B8:J8)</f>
        <v>368946.73</v>
      </c>
    </row>
    <row r="9" spans="1:15" ht="24.75" customHeight="1" thickBot="1" x14ac:dyDescent="0.3">
      <c r="A9" s="21" t="s">
        <v>20</v>
      </c>
      <c r="B9" s="10">
        <v>25364.54</v>
      </c>
      <c r="C9" s="10">
        <v>35133.360000000001</v>
      </c>
      <c r="D9" s="10">
        <v>30558.48</v>
      </c>
      <c r="E9" s="10">
        <v>30648.39</v>
      </c>
      <c r="F9" s="10">
        <v>30638.59</v>
      </c>
      <c r="G9" s="10">
        <v>36867.47</v>
      </c>
      <c r="H9" s="10">
        <v>37050.67</v>
      </c>
      <c r="I9" s="10">
        <v>31248.57</v>
      </c>
      <c r="J9" s="10">
        <v>31214.89</v>
      </c>
      <c r="K9" s="10">
        <f>SUM(B9:J9)</f>
        <v>288724.96000000002</v>
      </c>
    </row>
    <row r="10" spans="1:15" ht="24.75" customHeight="1" thickBot="1" x14ac:dyDescent="0.3">
      <c r="A10" s="21" t="s">
        <v>19</v>
      </c>
      <c r="B10" s="11">
        <v>511.2</v>
      </c>
      <c r="C10" s="11">
        <v>511.2</v>
      </c>
      <c r="D10" s="11">
        <v>511.2</v>
      </c>
      <c r="E10" s="11">
        <v>511.2</v>
      </c>
      <c r="F10" s="11">
        <v>511.2</v>
      </c>
      <c r="G10" s="11">
        <v>511.2</v>
      </c>
      <c r="H10" s="11">
        <v>511.2</v>
      </c>
      <c r="I10" s="11">
        <v>511.2</v>
      </c>
      <c r="J10" s="11">
        <v>511.2</v>
      </c>
      <c r="K10" s="11">
        <f>SUM(B10:J10)</f>
        <v>4600.7999999999993</v>
      </c>
    </row>
    <row r="11" spans="1:15" ht="24.75" customHeight="1" thickBot="1" x14ac:dyDescent="0.3">
      <c r="A11" s="21" t="s">
        <v>25</v>
      </c>
      <c r="B11" s="11">
        <v>2741.49</v>
      </c>
      <c r="C11" s="11">
        <v>2741.89</v>
      </c>
      <c r="D11" s="11">
        <v>2741.69</v>
      </c>
      <c r="E11" s="11">
        <v>2741.59</v>
      </c>
      <c r="F11" s="11">
        <v>2741.59</v>
      </c>
      <c r="G11" s="11">
        <v>639.72</v>
      </c>
      <c r="H11" s="11">
        <v>719.15</v>
      </c>
      <c r="I11" s="11">
        <v>712.81</v>
      </c>
      <c r="J11" s="11">
        <v>719.15</v>
      </c>
      <c r="K11" s="11">
        <f t="shared" ref="K11" si="5">SUM(B11:G11)</f>
        <v>14347.97</v>
      </c>
    </row>
    <row r="12" spans="1:15" ht="24.75" customHeight="1" thickBot="1" x14ac:dyDescent="0.3">
      <c r="A12" s="21" t="s">
        <v>26</v>
      </c>
      <c r="B12" s="11">
        <v>626.39</v>
      </c>
      <c r="C12" s="11">
        <v>626.59</v>
      </c>
      <c r="D12" s="11">
        <v>626.49</v>
      </c>
      <c r="E12" s="11">
        <v>626.49</v>
      </c>
      <c r="F12" s="11">
        <v>626.49</v>
      </c>
      <c r="G12" s="11">
        <v>125.36</v>
      </c>
      <c r="H12" s="11">
        <v>139.74</v>
      </c>
      <c r="I12" s="11">
        <v>1927.2</v>
      </c>
      <c r="J12" s="11">
        <v>1912.55</v>
      </c>
      <c r="K12" s="11">
        <f t="shared" ref="K12:K17" si="6">SUM(B12:J12)</f>
        <v>7237.3</v>
      </c>
    </row>
    <row r="13" spans="1:15" ht="24.75" customHeight="1" thickBot="1" x14ac:dyDescent="0.3">
      <c r="A13" s="21" t="s">
        <v>27</v>
      </c>
      <c r="B13" s="11">
        <v>5598.07</v>
      </c>
      <c r="C13" s="11">
        <v>5597.93</v>
      </c>
      <c r="D13" s="11">
        <v>5598</v>
      </c>
      <c r="E13" s="11">
        <v>5597.97</v>
      </c>
      <c r="F13" s="11">
        <v>5597.97</v>
      </c>
      <c r="G13" s="11">
        <v>2310.0500000000002</v>
      </c>
      <c r="H13" s="11">
        <v>2488.1999999999998</v>
      </c>
      <c r="I13" s="11">
        <v>-2488.1999999999998</v>
      </c>
      <c r="J13" s="20">
        <v>0</v>
      </c>
      <c r="K13" s="11">
        <f t="shared" si="6"/>
        <v>30299.99</v>
      </c>
    </row>
    <row r="14" spans="1:15" ht="24.75" customHeight="1" thickBot="1" x14ac:dyDescent="0.3">
      <c r="A14" s="21" t="s">
        <v>41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11">
        <v>5828.2</v>
      </c>
      <c r="I14" s="11">
        <v>5828.2</v>
      </c>
      <c r="J14" s="11">
        <v>5828.2</v>
      </c>
      <c r="K14" s="11">
        <f t="shared" si="6"/>
        <v>17484.599999999999</v>
      </c>
    </row>
    <row r="15" spans="1:15" ht="24.75" customHeight="1" thickBot="1" x14ac:dyDescent="0.3">
      <c r="A15" s="21" t="s">
        <v>16</v>
      </c>
      <c r="B15" s="11">
        <v>450</v>
      </c>
      <c r="C15" s="11">
        <v>450</v>
      </c>
      <c r="D15" s="11">
        <v>450</v>
      </c>
      <c r="E15" s="11">
        <v>450</v>
      </c>
      <c r="F15" s="11">
        <v>450</v>
      </c>
      <c r="G15" s="11">
        <v>450</v>
      </c>
      <c r="H15" s="11">
        <v>450</v>
      </c>
      <c r="I15" s="11">
        <v>450</v>
      </c>
      <c r="J15" s="11">
        <v>500</v>
      </c>
      <c r="K15" s="11">
        <f t="shared" si="6"/>
        <v>4100</v>
      </c>
    </row>
    <row r="16" spans="1:15" ht="20.25" customHeight="1" thickBot="1" x14ac:dyDescent="0.3">
      <c r="A16" s="12" t="s">
        <v>10</v>
      </c>
      <c r="B16" s="13">
        <f t="shared" ref="B16" si="7">SUM(B17:B23)</f>
        <v>21671.37</v>
      </c>
      <c r="C16" s="13">
        <f t="shared" ref="C16:J16" si="8">SUM(C17:C23)</f>
        <v>27953.16</v>
      </c>
      <c r="D16" s="13">
        <f t="shared" si="8"/>
        <v>26330.93</v>
      </c>
      <c r="E16" s="13">
        <f t="shared" si="8"/>
        <v>43907.140000000007</v>
      </c>
      <c r="F16" s="13">
        <f t="shared" si="8"/>
        <v>24768.32</v>
      </c>
      <c r="G16" s="13">
        <f t="shared" si="8"/>
        <v>31383.680000000004</v>
      </c>
      <c r="H16" s="13">
        <f t="shared" si="8"/>
        <v>24622.83</v>
      </c>
      <c r="I16" s="13">
        <f t="shared" si="8"/>
        <v>41110.829999999994</v>
      </c>
      <c r="J16" s="13">
        <f t="shared" si="8"/>
        <v>27661.850000000002</v>
      </c>
      <c r="K16" s="13">
        <f t="shared" si="6"/>
        <v>269410.11</v>
      </c>
    </row>
    <row r="17" spans="1:12" ht="24" customHeight="1" thickBot="1" x14ac:dyDescent="0.3">
      <c r="A17" s="21" t="s">
        <v>20</v>
      </c>
      <c r="B17" s="10">
        <v>21221.37</v>
      </c>
      <c r="C17" s="10">
        <v>23100.5</v>
      </c>
      <c r="D17" s="11">
        <v>20516.63</v>
      </c>
      <c r="E17" s="11">
        <v>37001.08</v>
      </c>
      <c r="F17" s="11">
        <v>19030.189999999999</v>
      </c>
      <c r="G17" s="11">
        <v>22132.9</v>
      </c>
      <c r="H17" s="11">
        <v>21859.88</v>
      </c>
      <c r="I17" s="11">
        <v>35419.67</v>
      </c>
      <c r="J17" s="11">
        <v>21621.45</v>
      </c>
      <c r="K17" s="11">
        <f t="shared" si="6"/>
        <v>221903.67000000004</v>
      </c>
    </row>
    <row r="18" spans="1:12" ht="26.25" customHeight="1" thickBot="1" x14ac:dyDescent="0.3">
      <c r="A18" s="21" t="s">
        <v>19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11">
        <v>3067.2</v>
      </c>
      <c r="H18" s="20">
        <v>0</v>
      </c>
      <c r="I18" s="11">
        <v>511.2</v>
      </c>
      <c r="J18" s="11">
        <v>511.2</v>
      </c>
      <c r="K18" s="11">
        <f t="shared" ref="K18:K23" si="9">SUM(B18:J18)</f>
        <v>4089.5999999999995</v>
      </c>
    </row>
    <row r="19" spans="1:12" ht="26.25" customHeight="1" thickBot="1" x14ac:dyDescent="0.3">
      <c r="A19" s="21" t="s">
        <v>25</v>
      </c>
      <c r="B19" s="20">
        <v>0</v>
      </c>
      <c r="C19" s="11">
        <v>1346.18</v>
      </c>
      <c r="D19" s="11">
        <v>1640.39</v>
      </c>
      <c r="E19" s="11">
        <v>1974.19</v>
      </c>
      <c r="F19" s="11">
        <v>1616.97</v>
      </c>
      <c r="G19" s="11">
        <v>1753.17</v>
      </c>
      <c r="H19" s="11">
        <v>554.72</v>
      </c>
      <c r="I19" s="11">
        <v>754.39</v>
      </c>
      <c r="J19" s="11">
        <v>600.42999999999995</v>
      </c>
      <c r="K19" s="11">
        <f t="shared" si="9"/>
        <v>10240.44</v>
      </c>
    </row>
    <row r="20" spans="1:12" ht="26.25" customHeight="1" thickBot="1" x14ac:dyDescent="0.3">
      <c r="A20" s="21" t="s">
        <v>26</v>
      </c>
      <c r="B20" s="20">
        <v>0</v>
      </c>
      <c r="C20" s="11">
        <v>307.52999999999997</v>
      </c>
      <c r="D20" s="11">
        <v>374.83</v>
      </c>
      <c r="E20" s="11">
        <v>451.08</v>
      </c>
      <c r="F20" s="11">
        <v>369.48</v>
      </c>
      <c r="G20" s="11">
        <v>400.61</v>
      </c>
      <c r="H20" s="11">
        <v>116.18</v>
      </c>
      <c r="I20" s="11">
        <v>235.76</v>
      </c>
      <c r="J20" s="11">
        <v>1056.48</v>
      </c>
      <c r="K20" s="11">
        <f t="shared" si="9"/>
        <v>3311.95</v>
      </c>
    </row>
    <row r="21" spans="1:12" ht="26.25" customHeight="1" thickBot="1" x14ac:dyDescent="0.3">
      <c r="A21" s="21" t="s">
        <v>27</v>
      </c>
      <c r="B21" s="20">
        <v>0</v>
      </c>
      <c r="C21" s="11">
        <v>2748.95</v>
      </c>
      <c r="D21" s="11">
        <v>3349.08</v>
      </c>
      <c r="E21" s="11">
        <v>4030.79</v>
      </c>
      <c r="F21" s="11">
        <v>3301.68</v>
      </c>
      <c r="G21" s="11">
        <v>3579.8</v>
      </c>
      <c r="H21" s="11">
        <v>1642.05</v>
      </c>
      <c r="I21" s="11">
        <v>734.82</v>
      </c>
      <c r="J21" s="11">
        <v>469.64</v>
      </c>
      <c r="K21" s="11">
        <f t="shared" si="9"/>
        <v>19856.809999999998</v>
      </c>
    </row>
    <row r="22" spans="1:12" ht="26.25" customHeight="1" thickBot="1" x14ac:dyDescent="0.3">
      <c r="A22" s="21" t="s">
        <v>41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11">
        <v>3004.99</v>
      </c>
      <c r="J22" s="11">
        <v>2902.65</v>
      </c>
      <c r="K22" s="11">
        <f t="shared" si="9"/>
        <v>5907.6399999999994</v>
      </c>
    </row>
    <row r="23" spans="1:12" ht="26.25" customHeight="1" thickBot="1" x14ac:dyDescent="0.3">
      <c r="A23" s="21" t="s">
        <v>16</v>
      </c>
      <c r="B23" s="16">
        <v>450</v>
      </c>
      <c r="C23" s="16">
        <v>450</v>
      </c>
      <c r="D23" s="16">
        <v>450</v>
      </c>
      <c r="E23" s="16">
        <v>450</v>
      </c>
      <c r="F23" s="16">
        <v>450</v>
      </c>
      <c r="G23" s="16">
        <v>450</v>
      </c>
      <c r="H23" s="16">
        <v>450</v>
      </c>
      <c r="I23" s="16">
        <v>450</v>
      </c>
      <c r="J23" s="16">
        <v>500</v>
      </c>
      <c r="K23" s="16">
        <f t="shared" si="9"/>
        <v>4100</v>
      </c>
      <c r="L23" s="19"/>
    </row>
    <row r="24" spans="1:12" ht="21.75" customHeight="1" thickBot="1" x14ac:dyDescent="0.3">
      <c r="A24" s="14" t="s">
        <v>33</v>
      </c>
      <c r="B24" s="15"/>
      <c r="C24" s="15"/>
      <c r="D24" s="15"/>
      <c r="E24" s="15"/>
      <c r="F24" s="15"/>
      <c r="G24" s="15"/>
      <c r="H24" s="15"/>
      <c r="I24" s="15"/>
      <c r="J24" s="15"/>
      <c r="K24" s="4"/>
    </row>
    <row r="25" spans="1:12" ht="19.5" customHeight="1" thickBot="1" x14ac:dyDescent="0.3">
      <c r="A25" s="21" t="s">
        <v>18</v>
      </c>
      <c r="B25" s="11">
        <v>2247.2199999999998</v>
      </c>
      <c r="C25" s="11">
        <v>2247.2199999999998</v>
      </c>
      <c r="D25" s="11">
        <v>2247.2199999999998</v>
      </c>
      <c r="E25" s="11">
        <v>2247.2199999999998</v>
      </c>
      <c r="F25" s="11">
        <v>2247.2199999999998</v>
      </c>
      <c r="G25" s="11">
        <v>2247.2199999999998</v>
      </c>
      <c r="H25" s="11">
        <v>2247.2199999999998</v>
      </c>
      <c r="I25" s="11">
        <v>2247.2199999999998</v>
      </c>
      <c r="J25" s="11">
        <v>2247.2199999999998</v>
      </c>
      <c r="K25" s="11">
        <f t="shared" ref="K25:K39" si="10">SUM(B25:J25)</f>
        <v>20224.98</v>
      </c>
    </row>
    <row r="26" spans="1:12" ht="19.5" customHeight="1" thickBot="1" x14ac:dyDescent="0.3">
      <c r="A26" s="21" t="s">
        <v>1</v>
      </c>
      <c r="B26" s="10">
        <v>196.47</v>
      </c>
      <c r="C26" s="10">
        <v>843.6</v>
      </c>
      <c r="D26" s="10">
        <v>843.6</v>
      </c>
      <c r="E26" s="10">
        <v>843.6</v>
      </c>
      <c r="F26" s="10">
        <v>843.6</v>
      </c>
      <c r="G26" s="10">
        <v>843.6</v>
      </c>
      <c r="H26" s="10">
        <v>843.6</v>
      </c>
      <c r="I26" s="10">
        <v>843.6</v>
      </c>
      <c r="J26" s="10">
        <v>843.6</v>
      </c>
      <c r="K26" s="11">
        <f t="shared" si="10"/>
        <v>6945.2700000000013</v>
      </c>
    </row>
    <row r="27" spans="1:12" ht="19.5" customHeight="1" thickBot="1" x14ac:dyDescent="0.3">
      <c r="A27" s="21" t="s">
        <v>2</v>
      </c>
      <c r="B27" s="10">
        <v>994.8</v>
      </c>
      <c r="C27" s="10">
        <v>994.8</v>
      </c>
      <c r="D27" s="10">
        <v>994.8</v>
      </c>
      <c r="E27" s="10">
        <v>994.8</v>
      </c>
      <c r="F27" s="10">
        <v>994.8</v>
      </c>
      <c r="G27" s="10">
        <v>994.8</v>
      </c>
      <c r="H27" s="10">
        <v>994.8</v>
      </c>
      <c r="I27" s="10">
        <v>994.8</v>
      </c>
      <c r="J27" s="10">
        <v>994.8</v>
      </c>
      <c r="K27" s="11">
        <f t="shared" si="10"/>
        <v>8953.2000000000007</v>
      </c>
    </row>
    <row r="28" spans="1:12" ht="22.5" customHeight="1" thickBot="1" x14ac:dyDescent="0.3">
      <c r="A28" s="21" t="s">
        <v>3</v>
      </c>
      <c r="B28" s="10">
        <v>357.37</v>
      </c>
      <c r="C28" s="10">
        <v>357.37</v>
      </c>
      <c r="D28" s="10">
        <v>357.37</v>
      </c>
      <c r="E28" s="10">
        <v>357.37</v>
      </c>
      <c r="F28" s="10">
        <v>357.37</v>
      </c>
      <c r="G28" s="10">
        <v>357.37</v>
      </c>
      <c r="H28" s="10">
        <v>357.37</v>
      </c>
      <c r="I28" s="10">
        <v>357.37</v>
      </c>
      <c r="J28" s="10">
        <v>357.37</v>
      </c>
      <c r="K28" s="11">
        <f t="shared" si="10"/>
        <v>3216.3299999999995</v>
      </c>
    </row>
    <row r="29" spans="1:12" ht="21" customHeight="1" thickBot="1" x14ac:dyDescent="0.3">
      <c r="A29" s="21" t="s">
        <v>4</v>
      </c>
      <c r="B29" s="11">
        <v>789.6</v>
      </c>
      <c r="C29" s="11">
        <v>1014.29</v>
      </c>
      <c r="D29" s="11">
        <v>909.07</v>
      </c>
      <c r="E29" s="11">
        <v>911.13</v>
      </c>
      <c r="F29" s="11">
        <v>910.91</v>
      </c>
      <c r="G29" s="11">
        <v>918.68</v>
      </c>
      <c r="H29" s="11">
        <v>1063.2</v>
      </c>
      <c r="I29" s="11">
        <v>856.26</v>
      </c>
      <c r="J29" s="11">
        <v>912.52</v>
      </c>
      <c r="K29" s="11">
        <f t="shared" si="10"/>
        <v>8285.66</v>
      </c>
    </row>
    <row r="30" spans="1:12" ht="23.25" customHeight="1" thickBot="1" x14ac:dyDescent="0.3">
      <c r="A30" s="21" t="s">
        <v>5</v>
      </c>
      <c r="B30" s="11">
        <v>641.16999999999996</v>
      </c>
      <c r="C30" s="11">
        <v>825.09</v>
      </c>
      <c r="D30" s="11">
        <v>776.43</v>
      </c>
      <c r="E30" s="11">
        <v>1303.71</v>
      </c>
      <c r="F30" s="11">
        <v>729.55</v>
      </c>
      <c r="G30" s="11">
        <v>835.99</v>
      </c>
      <c r="H30" s="11">
        <v>725.18</v>
      </c>
      <c r="I30" s="11">
        <v>1204.49</v>
      </c>
      <c r="J30" s="11">
        <v>799.52</v>
      </c>
      <c r="K30" s="11">
        <f t="shared" si="10"/>
        <v>7841.1299999999992</v>
      </c>
    </row>
    <row r="31" spans="1:12" ht="23.25" customHeight="1" thickBot="1" x14ac:dyDescent="0.3">
      <c r="A31" s="9" t="s">
        <v>11</v>
      </c>
      <c r="B31" s="11">
        <v>12697.29</v>
      </c>
      <c r="C31" s="11">
        <v>12697.29</v>
      </c>
      <c r="D31" s="11">
        <v>12697.29</v>
      </c>
      <c r="E31" s="11">
        <v>12697.29</v>
      </c>
      <c r="F31" s="11">
        <v>12697.29</v>
      </c>
      <c r="G31" s="11">
        <v>12697.29</v>
      </c>
      <c r="H31" s="11">
        <v>12697.29</v>
      </c>
      <c r="I31" s="11">
        <v>12697.29</v>
      </c>
      <c r="J31" s="11">
        <v>12697.29</v>
      </c>
      <c r="K31" s="11">
        <f t="shared" si="10"/>
        <v>114275.61000000002</v>
      </c>
    </row>
    <row r="32" spans="1:12" ht="26.25" customHeight="1" thickBot="1" x14ac:dyDescent="0.3">
      <c r="A32" s="21" t="s">
        <v>28</v>
      </c>
      <c r="B32" s="11">
        <v>4874.25</v>
      </c>
      <c r="C32" s="11">
        <v>4874.25</v>
      </c>
      <c r="D32" s="11">
        <v>4874.25</v>
      </c>
      <c r="E32" s="11">
        <v>4874.25</v>
      </c>
      <c r="F32" s="11">
        <v>3301.99</v>
      </c>
      <c r="G32" s="20">
        <v>0</v>
      </c>
      <c r="H32" s="20">
        <v>0</v>
      </c>
      <c r="I32" s="20">
        <v>0</v>
      </c>
      <c r="J32" s="20">
        <v>0</v>
      </c>
      <c r="K32" s="11">
        <f t="shared" si="10"/>
        <v>22798.989999999998</v>
      </c>
    </row>
    <row r="33" spans="1:11" ht="26.25" customHeight="1" thickBot="1" x14ac:dyDescent="0.3">
      <c r="A33" s="21" t="s">
        <v>29</v>
      </c>
      <c r="B33" s="11">
        <v>6371.96</v>
      </c>
      <c r="C33" s="11">
        <v>5789.88</v>
      </c>
      <c r="D33" s="11">
        <v>4458.58</v>
      </c>
      <c r="E33" s="11">
        <v>4924.38</v>
      </c>
      <c r="F33" s="11">
        <v>2319.5700000000002</v>
      </c>
      <c r="G33" s="11">
        <v>2621.72</v>
      </c>
      <c r="H33" s="11">
        <v>2194.89</v>
      </c>
      <c r="I33" s="11">
        <v>1912.97</v>
      </c>
      <c r="J33" s="11">
        <v>2074.84</v>
      </c>
      <c r="K33" s="11">
        <f t="shared" si="10"/>
        <v>32668.79</v>
      </c>
    </row>
    <row r="34" spans="1:11" ht="26.25" customHeight="1" thickBot="1" x14ac:dyDescent="0.3">
      <c r="A34" s="21" t="s">
        <v>30</v>
      </c>
      <c r="B34" s="11">
        <v>5498.4</v>
      </c>
      <c r="C34" s="20">
        <v>0</v>
      </c>
      <c r="D34" s="11">
        <v>2401.1999999999998</v>
      </c>
      <c r="E34" s="11">
        <v>17478.3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11">
        <f t="shared" si="10"/>
        <v>25377.899999999998</v>
      </c>
    </row>
    <row r="35" spans="1:11" ht="22.5" customHeight="1" thickBot="1" x14ac:dyDescent="0.3">
      <c r="A35" s="21" t="s">
        <v>8</v>
      </c>
      <c r="B35" s="11">
        <v>4057.25</v>
      </c>
      <c r="C35" s="11">
        <v>4057.25</v>
      </c>
      <c r="D35" s="11">
        <v>4057.25</v>
      </c>
      <c r="E35" s="11">
        <v>4057.25</v>
      </c>
      <c r="F35" s="11">
        <v>4057.25</v>
      </c>
      <c r="G35" s="11">
        <v>4057.25</v>
      </c>
      <c r="H35" s="11">
        <v>4057.25</v>
      </c>
      <c r="I35" s="11">
        <v>4057.25</v>
      </c>
      <c r="J35" s="11">
        <v>4057.25</v>
      </c>
      <c r="K35" s="11">
        <f t="shared" si="10"/>
        <v>36515.25</v>
      </c>
    </row>
    <row r="36" spans="1:11" ht="22.5" customHeight="1" thickBot="1" x14ac:dyDescent="0.3">
      <c r="A36" s="21" t="s">
        <v>42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11">
        <v>420</v>
      </c>
      <c r="H36" s="11">
        <v>420</v>
      </c>
      <c r="I36" s="11">
        <v>420</v>
      </c>
      <c r="J36" s="11">
        <v>420</v>
      </c>
      <c r="K36" s="11">
        <f t="shared" si="10"/>
        <v>1680</v>
      </c>
    </row>
    <row r="37" spans="1:11" ht="21.75" customHeight="1" thickBot="1" x14ac:dyDescent="0.3">
      <c r="A37" s="21" t="s">
        <v>41</v>
      </c>
      <c r="B37" s="11">
        <v>1250</v>
      </c>
      <c r="C37" s="11">
        <v>1250</v>
      </c>
      <c r="D37" s="11">
        <v>1250</v>
      </c>
      <c r="E37" s="11">
        <v>1250</v>
      </c>
      <c r="F37" s="11">
        <v>1250</v>
      </c>
      <c r="G37" s="11">
        <v>1250</v>
      </c>
      <c r="H37" s="20">
        <v>0</v>
      </c>
      <c r="I37" s="11">
        <v>2306</v>
      </c>
      <c r="J37" s="11">
        <v>2750</v>
      </c>
      <c r="K37" s="11">
        <f t="shared" si="10"/>
        <v>12556</v>
      </c>
    </row>
    <row r="38" spans="1:11" ht="18.75" customHeight="1" thickBot="1" x14ac:dyDescent="0.3">
      <c r="A38" s="21" t="s">
        <v>6</v>
      </c>
      <c r="B38" s="11">
        <f t="shared" ref="B38:G38" si="11">B16*1%</f>
        <v>216.71369999999999</v>
      </c>
      <c r="C38" s="11">
        <f t="shared" si="11"/>
        <v>279.53160000000003</v>
      </c>
      <c r="D38" s="11">
        <f t="shared" si="11"/>
        <v>263.30930000000001</v>
      </c>
      <c r="E38" s="11">
        <f t="shared" si="11"/>
        <v>439.0714000000001</v>
      </c>
      <c r="F38" s="11">
        <f t="shared" si="11"/>
        <v>247.6832</v>
      </c>
      <c r="G38" s="11">
        <f t="shared" si="11"/>
        <v>313.83680000000004</v>
      </c>
      <c r="H38" s="11">
        <f>H16*1%</f>
        <v>246.22830000000002</v>
      </c>
      <c r="I38" s="11">
        <f>I16*1%</f>
        <v>411.10829999999993</v>
      </c>
      <c r="J38" s="11">
        <f>J16*1%</f>
        <v>276.61850000000004</v>
      </c>
      <c r="K38" s="11">
        <f t="shared" si="10"/>
        <v>2694.1011000000003</v>
      </c>
    </row>
    <row r="39" spans="1:11" ht="24" customHeight="1" thickBot="1" x14ac:dyDescent="0.3">
      <c r="A39" s="21" t="s">
        <v>12</v>
      </c>
      <c r="B39" s="11">
        <v>2205.3000000000002</v>
      </c>
      <c r="C39" s="20">
        <v>0</v>
      </c>
      <c r="D39" s="20">
        <v>0</v>
      </c>
      <c r="E39" s="20">
        <v>0</v>
      </c>
      <c r="F39" s="20">
        <v>0</v>
      </c>
      <c r="G39" s="11">
        <v>580.4</v>
      </c>
      <c r="H39" s="11">
        <v>2048.9</v>
      </c>
      <c r="I39" s="11">
        <v>7400</v>
      </c>
      <c r="J39" s="11">
        <v>1000</v>
      </c>
      <c r="K39" s="11">
        <f t="shared" si="10"/>
        <v>13234.6</v>
      </c>
    </row>
    <row r="40" spans="1:11" ht="22.5" customHeight="1" thickBot="1" x14ac:dyDescent="0.3">
      <c r="A40" s="7" t="s">
        <v>32</v>
      </c>
      <c r="B40" s="8">
        <f t="shared" ref="B40:K40" si="12">SUM(B25:B39)</f>
        <v>42397.793700000002</v>
      </c>
      <c r="C40" s="8">
        <f t="shared" si="12"/>
        <v>35230.571600000003</v>
      </c>
      <c r="D40" s="8">
        <f t="shared" si="12"/>
        <v>36130.369299999998</v>
      </c>
      <c r="E40" s="8">
        <f t="shared" si="12"/>
        <v>52378.371400000004</v>
      </c>
      <c r="F40" s="8">
        <f t="shared" si="12"/>
        <v>29957.233200000002</v>
      </c>
      <c r="G40" s="8">
        <f t="shared" si="12"/>
        <v>28138.156800000004</v>
      </c>
      <c r="H40" s="8">
        <f>SUM(H25:H39)</f>
        <v>27895.9283</v>
      </c>
      <c r="I40" s="8">
        <f>SUM(I25:I39)</f>
        <v>35708.3583</v>
      </c>
      <c r="J40" s="8">
        <f>SUM(J25:J39)</f>
        <v>29431.0285</v>
      </c>
      <c r="K40" s="8">
        <f t="shared" si="12"/>
        <v>317267.81109999999</v>
      </c>
    </row>
    <row r="41" spans="1:11" ht="23.25" customHeight="1" thickBot="1" x14ac:dyDescent="0.3">
      <c r="A41" s="9" t="s">
        <v>7</v>
      </c>
      <c r="B41" s="17">
        <f t="shared" ref="B41:K41" si="13">B16-B40</f>
        <v>-20726.423700000003</v>
      </c>
      <c r="C41" s="17">
        <f t="shared" si="13"/>
        <v>-7277.4116000000031</v>
      </c>
      <c r="D41" s="24">
        <f t="shared" si="13"/>
        <v>-9799.4392999999982</v>
      </c>
      <c r="E41" s="17">
        <f t="shared" si="13"/>
        <v>-8471.2313999999969</v>
      </c>
      <c r="F41" s="17">
        <f t="shared" si="13"/>
        <v>-5188.9132000000027</v>
      </c>
      <c r="G41" s="17">
        <f t="shared" si="13"/>
        <v>3245.5231999999996</v>
      </c>
      <c r="H41" s="17">
        <f t="shared" si="13"/>
        <v>-3273.0982999999978</v>
      </c>
      <c r="I41" s="17">
        <f t="shared" si="13"/>
        <v>5402.4716999999946</v>
      </c>
      <c r="J41" s="17">
        <f t="shared" si="13"/>
        <v>-1769.1784999999982</v>
      </c>
      <c r="K41" s="11">
        <f t="shared" si="13"/>
        <v>-47857.701100000006</v>
      </c>
    </row>
    <row r="42" spans="1:11" ht="23.25" customHeight="1" thickBot="1" x14ac:dyDescent="0.3">
      <c r="A42" s="9" t="s">
        <v>9</v>
      </c>
      <c r="B42" s="22">
        <f>B6+B41</f>
        <v>-428557.6937</v>
      </c>
      <c r="C42" s="16">
        <f t="shared" ref="C42:D42" si="14">B42+C41</f>
        <v>-435835.1053</v>
      </c>
      <c r="D42" s="16">
        <f t="shared" si="14"/>
        <v>-445634.54460000002</v>
      </c>
      <c r="E42" s="16">
        <f t="shared" ref="E42:J42" si="15">D42+E41</f>
        <v>-454105.77600000001</v>
      </c>
      <c r="F42" s="26">
        <f t="shared" si="15"/>
        <v>-459294.68920000002</v>
      </c>
      <c r="G42" s="26">
        <f t="shared" si="15"/>
        <v>-456049.16600000003</v>
      </c>
      <c r="H42" s="16">
        <f t="shared" si="15"/>
        <v>-459322.26430000004</v>
      </c>
      <c r="I42" s="26">
        <f t="shared" si="15"/>
        <v>-453919.79260000004</v>
      </c>
      <c r="J42" s="26">
        <f t="shared" si="15"/>
        <v>-455688.97110000002</v>
      </c>
      <c r="K42" s="17">
        <f>K6+K41</f>
        <v>-455688.97110000002</v>
      </c>
    </row>
    <row r="43" spans="1:11" ht="27" customHeight="1" thickBot="1" x14ac:dyDescent="0.3">
      <c r="A43" s="14" t="s">
        <v>13</v>
      </c>
      <c r="B43" s="18">
        <f t="shared" ref="B43:K43" si="16">B7+B16-B8</f>
        <v>-412141.58</v>
      </c>
      <c r="C43" s="18">
        <f t="shared" si="16"/>
        <v>-429249.39</v>
      </c>
      <c r="D43" s="25">
        <f t="shared" si="16"/>
        <v>-443404.32</v>
      </c>
      <c r="E43" s="18">
        <f t="shared" si="16"/>
        <v>-440072.82</v>
      </c>
      <c r="F43" s="18">
        <f t="shared" si="16"/>
        <v>-455870.34</v>
      </c>
      <c r="G43" s="18">
        <f t="shared" si="16"/>
        <v>-465390.46</v>
      </c>
      <c r="H43" s="18">
        <f>H7+H16-H8</f>
        <v>-487954.79</v>
      </c>
      <c r="I43" s="18">
        <f>I7+I16-I8</f>
        <v>-485033.74</v>
      </c>
      <c r="J43" s="18">
        <f>J7+J16-J8</f>
        <v>-498057.88</v>
      </c>
      <c r="K43" s="23">
        <f t="shared" si="16"/>
        <v>-498057.88</v>
      </c>
    </row>
  </sheetData>
  <mergeCells count="2">
    <mergeCell ref="A1:K1"/>
    <mergeCell ref="A2:K2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70" zoomScaleNormal="70" workbookViewId="0">
      <selection activeCell="E11" sqref="E11"/>
    </sheetView>
  </sheetViews>
  <sheetFormatPr defaultRowHeight="13.2" x14ac:dyDescent="0.25"/>
  <cols>
    <col min="1" max="1" width="58.6640625" customWidth="1"/>
    <col min="2" max="2" width="15.6640625" customWidth="1"/>
    <col min="3" max="3" width="13.88671875" customWidth="1"/>
    <col min="4" max="4" width="15.5546875" customWidth="1"/>
    <col min="5" max="5" width="15.109375" customWidth="1"/>
    <col min="6" max="6" width="15.44140625" customWidth="1"/>
    <col min="7" max="7" width="14.88671875" customWidth="1"/>
    <col min="8" max="8" width="15.109375" customWidth="1"/>
    <col min="9" max="9" width="14.5546875" customWidth="1"/>
    <col min="10" max="10" width="16.33203125" customWidth="1"/>
    <col min="11" max="11" width="15.109375" customWidth="1"/>
  </cols>
  <sheetData>
    <row r="1" spans="1:15" ht="17.399999999999999" x14ac:dyDescent="0.3">
      <c r="A1" s="44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5" ht="20.25" customHeight="1" x14ac:dyDescent="0.35">
      <c r="A2" s="46" t="s">
        <v>43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5" ht="7.5" customHeight="1" thickBot="1" x14ac:dyDescent="0.3">
      <c r="A3" s="1"/>
      <c r="O3" s="2"/>
    </row>
    <row r="4" spans="1:15" ht="3" hidden="1" customHeight="1" x14ac:dyDescent="0.25">
      <c r="A4" s="1"/>
    </row>
    <row r="5" spans="1:15" ht="38.25" customHeight="1" thickBot="1" x14ac:dyDescent="0.3">
      <c r="A5" s="3" t="s">
        <v>0</v>
      </c>
      <c r="B5" s="4" t="s">
        <v>21</v>
      </c>
      <c r="C5" s="4" t="s">
        <v>22</v>
      </c>
      <c r="D5" s="4" t="s">
        <v>23</v>
      </c>
      <c r="E5" s="4" t="s">
        <v>34</v>
      </c>
      <c r="F5" s="4" t="s">
        <v>35</v>
      </c>
      <c r="G5" s="4" t="s">
        <v>36</v>
      </c>
      <c r="H5" s="4" t="s">
        <v>38</v>
      </c>
      <c r="I5" s="4" t="s">
        <v>39</v>
      </c>
      <c r="J5" s="4" t="s">
        <v>40</v>
      </c>
      <c r="K5" s="4" t="s">
        <v>24</v>
      </c>
    </row>
    <row r="6" spans="1:15" ht="23.25" customHeight="1" thickBot="1" x14ac:dyDescent="0.3">
      <c r="A6" s="5" t="s">
        <v>17</v>
      </c>
      <c r="B6" s="6">
        <v>16166.58</v>
      </c>
      <c r="C6" s="6">
        <f t="shared" ref="C6:J7" si="0">B42</f>
        <v>2931.1001000000015</v>
      </c>
      <c r="D6" s="6">
        <f t="shared" si="0"/>
        <v>5078.687299999996</v>
      </c>
      <c r="E6" s="6">
        <f t="shared" si="0"/>
        <v>13074.915199999998</v>
      </c>
      <c r="F6" s="6">
        <f t="shared" si="0"/>
        <v>15807.230799999999</v>
      </c>
      <c r="G6" s="6">
        <f t="shared" si="0"/>
        <v>-11162.214300000001</v>
      </c>
      <c r="H6" s="6">
        <f t="shared" si="0"/>
        <v>14118.323699999999</v>
      </c>
      <c r="I6" s="6">
        <f t="shared" si="0"/>
        <v>23621.202699999987</v>
      </c>
      <c r="J6" s="6">
        <f t="shared" si="0"/>
        <v>-146399.6893</v>
      </c>
      <c r="K6" s="6">
        <v>16166.58</v>
      </c>
    </row>
    <row r="7" spans="1:15" ht="21" customHeight="1" thickBot="1" x14ac:dyDescent="0.3">
      <c r="A7" s="5" t="s">
        <v>15</v>
      </c>
      <c r="B7" s="6">
        <v>-115851.35</v>
      </c>
      <c r="C7" s="6">
        <f t="shared" si="0"/>
        <v>-139495.59</v>
      </c>
      <c r="D7" s="6">
        <f t="shared" si="0"/>
        <v>-149848.28</v>
      </c>
      <c r="E7" s="6">
        <f t="shared" si="0"/>
        <v>-156939.04</v>
      </c>
      <c r="F7" s="6">
        <f t="shared" si="0"/>
        <v>-165769.16999999998</v>
      </c>
      <c r="G7" s="6">
        <f t="shared" si="0"/>
        <v>-177715.63999999996</v>
      </c>
      <c r="H7" s="6">
        <f t="shared" si="0"/>
        <v>-168248.35999999996</v>
      </c>
      <c r="I7" s="6">
        <f t="shared" si="0"/>
        <v>-179220.38999999996</v>
      </c>
      <c r="J7" s="6">
        <f t="shared" si="0"/>
        <v>-174004.50999999995</v>
      </c>
      <c r="K7" s="6">
        <v>-115851.35</v>
      </c>
    </row>
    <row r="8" spans="1:15" ht="20.25" customHeight="1" thickBot="1" x14ac:dyDescent="0.3">
      <c r="A8" s="7" t="s">
        <v>14</v>
      </c>
      <c r="B8" s="8">
        <f>SUM(B9:B15)</f>
        <v>42437.229999999996</v>
      </c>
      <c r="C8" s="8">
        <f>SUM(C9:C15)</f>
        <v>42825.969999999994</v>
      </c>
      <c r="D8" s="8">
        <f t="shared" ref="D8:J8" si="1">SUM(D9:D15)</f>
        <v>42825.969999999994</v>
      </c>
      <c r="E8" s="8">
        <f t="shared" si="1"/>
        <v>42833.569999999992</v>
      </c>
      <c r="F8" s="8">
        <f t="shared" si="1"/>
        <v>42837.979999999996</v>
      </c>
      <c r="G8" s="8">
        <f t="shared" si="1"/>
        <v>43458.920000000006</v>
      </c>
      <c r="H8" s="8">
        <f t="shared" si="1"/>
        <v>49420.130000000005</v>
      </c>
      <c r="I8" s="8">
        <f t="shared" si="1"/>
        <v>39793.32</v>
      </c>
      <c r="J8" s="8">
        <f t="shared" si="1"/>
        <v>44648.24</v>
      </c>
      <c r="K8" s="8">
        <f t="shared" ref="K8:K23" si="2">SUM(B8:J8)</f>
        <v>391081.33</v>
      </c>
    </row>
    <row r="9" spans="1:15" ht="24.75" customHeight="1" thickBot="1" x14ac:dyDescent="0.3">
      <c r="A9" s="21" t="s">
        <v>20</v>
      </c>
      <c r="B9" s="10">
        <v>29323.8</v>
      </c>
      <c r="C9" s="10">
        <v>29712.54</v>
      </c>
      <c r="D9" s="10">
        <v>29712.54</v>
      </c>
      <c r="E9" s="10">
        <v>29720.14</v>
      </c>
      <c r="F9" s="10">
        <v>29724.55</v>
      </c>
      <c r="G9" s="10">
        <v>35616.120000000003</v>
      </c>
      <c r="H9" s="10">
        <v>40831.01</v>
      </c>
      <c r="I9" s="10">
        <v>35616.120000000003</v>
      </c>
      <c r="J9" s="10">
        <v>35624.730000000003</v>
      </c>
      <c r="K9" s="10">
        <f t="shared" si="2"/>
        <v>295881.55</v>
      </c>
    </row>
    <row r="10" spans="1:15" ht="24.75" customHeight="1" thickBot="1" x14ac:dyDescent="0.3">
      <c r="A10" s="21" t="s">
        <v>19</v>
      </c>
      <c r="B10" s="11">
        <v>2855.52</v>
      </c>
      <c r="C10" s="11">
        <v>2855.52</v>
      </c>
      <c r="D10" s="11">
        <v>2855.52</v>
      </c>
      <c r="E10" s="11">
        <v>2855.52</v>
      </c>
      <c r="F10" s="11">
        <v>2855.52</v>
      </c>
      <c r="G10" s="11">
        <v>2855.52</v>
      </c>
      <c r="H10" s="11">
        <v>2855.52</v>
      </c>
      <c r="I10" s="11">
        <v>2855.52</v>
      </c>
      <c r="J10" s="11">
        <v>2855.52</v>
      </c>
      <c r="K10" s="11">
        <f t="shared" si="2"/>
        <v>25699.68</v>
      </c>
    </row>
    <row r="11" spans="1:15" ht="24.75" customHeight="1" thickBot="1" x14ac:dyDescent="0.3">
      <c r="A11" s="21" t="s">
        <v>25</v>
      </c>
      <c r="B11" s="11">
        <v>3178.62</v>
      </c>
      <c r="C11" s="11">
        <v>3178.62</v>
      </c>
      <c r="D11" s="11">
        <v>3178.62</v>
      </c>
      <c r="E11" s="11">
        <v>3178.62</v>
      </c>
      <c r="F11" s="11">
        <v>3178.62</v>
      </c>
      <c r="G11" s="11">
        <v>741.58</v>
      </c>
      <c r="H11" s="11">
        <v>952.87</v>
      </c>
      <c r="I11" s="11">
        <v>1384.95</v>
      </c>
      <c r="J11" s="11">
        <v>4403.59</v>
      </c>
      <c r="K11" s="11">
        <f t="shared" si="2"/>
        <v>23376.09</v>
      </c>
    </row>
    <row r="12" spans="1:15" ht="24.75" customHeight="1" thickBot="1" x14ac:dyDescent="0.3">
      <c r="A12" s="21" t="s">
        <v>26</v>
      </c>
      <c r="B12" s="11">
        <v>726.34</v>
      </c>
      <c r="C12" s="11">
        <v>726.34</v>
      </c>
      <c r="D12" s="11">
        <v>726.34</v>
      </c>
      <c r="E12" s="11">
        <v>726.34</v>
      </c>
      <c r="F12" s="11">
        <v>726.34</v>
      </c>
      <c r="G12" s="11">
        <v>145.21</v>
      </c>
      <c r="H12" s="11">
        <v>195.36</v>
      </c>
      <c r="I12" s="11">
        <v>-59.64</v>
      </c>
      <c r="J12" s="20">
        <v>0</v>
      </c>
      <c r="K12" s="11">
        <f t="shared" si="2"/>
        <v>3912.6300000000006</v>
      </c>
    </row>
    <row r="13" spans="1:15" ht="24.75" customHeight="1" thickBot="1" x14ac:dyDescent="0.3">
      <c r="A13" s="21" t="s">
        <v>27</v>
      </c>
      <c r="B13" s="11">
        <v>5902.95</v>
      </c>
      <c r="C13" s="11">
        <v>5902.95</v>
      </c>
      <c r="D13" s="11">
        <v>5902.95</v>
      </c>
      <c r="E13" s="11">
        <v>5902.95</v>
      </c>
      <c r="F13" s="11">
        <v>5902.95</v>
      </c>
      <c r="G13" s="11">
        <v>2436.09</v>
      </c>
      <c r="H13" s="11">
        <v>2820.97</v>
      </c>
      <c r="I13" s="11">
        <v>-1718.03</v>
      </c>
      <c r="J13" s="20">
        <v>0</v>
      </c>
      <c r="K13" s="11">
        <f t="shared" si="2"/>
        <v>33053.78</v>
      </c>
    </row>
    <row r="14" spans="1:15" ht="24.75" customHeight="1" thickBot="1" x14ac:dyDescent="0.3">
      <c r="A14" s="21" t="s">
        <v>41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11">
        <v>1214.4000000000001</v>
      </c>
      <c r="H14" s="11">
        <v>1314.4</v>
      </c>
      <c r="I14" s="11">
        <v>1264.4000000000001</v>
      </c>
      <c r="J14" s="11">
        <v>1264.4000000000001</v>
      </c>
      <c r="K14" s="11">
        <f t="shared" si="2"/>
        <v>5057.6000000000004</v>
      </c>
    </row>
    <row r="15" spans="1:15" ht="24.75" customHeight="1" thickBot="1" x14ac:dyDescent="0.3">
      <c r="A15" s="21" t="s">
        <v>16</v>
      </c>
      <c r="B15" s="11">
        <v>450</v>
      </c>
      <c r="C15" s="11">
        <v>450</v>
      </c>
      <c r="D15" s="11">
        <v>450</v>
      </c>
      <c r="E15" s="11">
        <v>450</v>
      </c>
      <c r="F15" s="11">
        <v>450</v>
      </c>
      <c r="G15" s="11">
        <v>450</v>
      </c>
      <c r="H15" s="11">
        <v>450</v>
      </c>
      <c r="I15" s="11">
        <v>450</v>
      </c>
      <c r="J15" s="11">
        <v>500</v>
      </c>
      <c r="K15" s="11">
        <f t="shared" si="2"/>
        <v>4100</v>
      </c>
    </row>
    <row r="16" spans="1:15" ht="20.25" customHeight="1" thickBot="1" x14ac:dyDescent="0.3">
      <c r="A16" s="12" t="s">
        <v>10</v>
      </c>
      <c r="B16" s="13">
        <f t="shared" ref="B16:J16" si="3">SUM(B17:B23)</f>
        <v>18792.990000000002</v>
      </c>
      <c r="C16" s="13">
        <f t="shared" si="3"/>
        <v>32473.279999999999</v>
      </c>
      <c r="D16" s="13">
        <f t="shared" si="3"/>
        <v>35735.21</v>
      </c>
      <c r="E16" s="13">
        <f t="shared" si="3"/>
        <v>34003.440000000002</v>
      </c>
      <c r="F16" s="13">
        <f t="shared" si="3"/>
        <v>30891.51</v>
      </c>
      <c r="G16" s="13">
        <f t="shared" si="3"/>
        <v>52926.2</v>
      </c>
      <c r="H16" s="13">
        <f t="shared" si="3"/>
        <v>38448.099999999991</v>
      </c>
      <c r="I16" s="13">
        <f t="shared" si="3"/>
        <v>45009.2</v>
      </c>
      <c r="J16" s="13">
        <f t="shared" si="3"/>
        <v>34229.18</v>
      </c>
      <c r="K16" s="13">
        <f t="shared" si="2"/>
        <v>322509.11</v>
      </c>
    </row>
    <row r="17" spans="1:12" ht="18.600000000000001" thickBot="1" x14ac:dyDescent="0.3">
      <c r="A17" s="21" t="s">
        <v>20</v>
      </c>
      <c r="B17" s="10">
        <v>18342.990000000002</v>
      </c>
      <c r="C17" s="10">
        <v>25902.63</v>
      </c>
      <c r="D17" s="11">
        <v>28024.89</v>
      </c>
      <c r="E17" s="11">
        <v>25584.21</v>
      </c>
      <c r="F17" s="11">
        <v>23288.23</v>
      </c>
      <c r="G17" s="11">
        <v>25694.720000000001</v>
      </c>
      <c r="H17" s="11">
        <v>29852.05</v>
      </c>
      <c r="I17" s="11">
        <v>38306.28</v>
      </c>
      <c r="J17" s="11">
        <v>27707.119999999999</v>
      </c>
      <c r="K17" s="11">
        <f t="shared" si="2"/>
        <v>242703.11999999997</v>
      </c>
    </row>
    <row r="18" spans="1:12" ht="18.600000000000001" thickBot="1" x14ac:dyDescent="0.3">
      <c r="A18" s="21" t="s">
        <v>19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11">
        <v>14842.75</v>
      </c>
      <c r="H18" s="11">
        <v>2855.52</v>
      </c>
      <c r="I18" s="11">
        <v>2855.52</v>
      </c>
      <c r="J18" s="11">
        <v>2855.52</v>
      </c>
      <c r="K18" s="11">
        <f t="shared" si="2"/>
        <v>23409.31</v>
      </c>
    </row>
    <row r="19" spans="1:12" ht="18.600000000000001" thickBot="1" x14ac:dyDescent="0.3">
      <c r="A19" s="21" t="s">
        <v>25</v>
      </c>
      <c r="B19" s="20">
        <v>0</v>
      </c>
      <c r="C19" s="11">
        <v>1983.62</v>
      </c>
      <c r="D19" s="11">
        <v>2352.9699999999998</v>
      </c>
      <c r="E19" s="11">
        <v>2582.7199999999998</v>
      </c>
      <c r="F19" s="11">
        <v>2318.2800000000002</v>
      </c>
      <c r="G19" s="11">
        <v>3855.38</v>
      </c>
      <c r="H19" s="11">
        <v>1083.3499999999999</v>
      </c>
      <c r="I19" s="11">
        <v>1130.03</v>
      </c>
      <c r="J19" s="11">
        <v>1246.1400000000001</v>
      </c>
      <c r="K19" s="11">
        <f t="shared" si="2"/>
        <v>16552.490000000002</v>
      </c>
    </row>
    <row r="20" spans="1:12" ht="18.600000000000001" thickBot="1" x14ac:dyDescent="0.3">
      <c r="A20" s="21" t="s">
        <v>26</v>
      </c>
      <c r="B20" s="20">
        <v>0</v>
      </c>
      <c r="C20" s="11">
        <v>453.25</v>
      </c>
      <c r="D20" s="11">
        <v>537.69000000000005</v>
      </c>
      <c r="E20" s="11">
        <v>590.16999999999996</v>
      </c>
      <c r="F20" s="11">
        <v>529.75</v>
      </c>
      <c r="G20" s="11">
        <v>879.99</v>
      </c>
      <c r="H20" s="11">
        <v>231.77</v>
      </c>
      <c r="I20" s="11">
        <v>130.05000000000001</v>
      </c>
      <c r="J20" s="11">
        <v>110.24</v>
      </c>
      <c r="K20" s="11">
        <f t="shared" si="2"/>
        <v>3462.9100000000003</v>
      </c>
    </row>
    <row r="21" spans="1:12" ht="18.600000000000001" thickBot="1" x14ac:dyDescent="0.3">
      <c r="A21" s="21" t="s">
        <v>27</v>
      </c>
      <c r="B21" s="20">
        <v>0</v>
      </c>
      <c r="C21" s="11">
        <v>3683.78</v>
      </c>
      <c r="D21" s="11">
        <v>4369.66</v>
      </c>
      <c r="E21" s="11">
        <v>4796.34</v>
      </c>
      <c r="F21" s="11">
        <v>4305.25</v>
      </c>
      <c r="G21" s="11">
        <v>7203.36</v>
      </c>
      <c r="H21" s="11">
        <v>2704.81</v>
      </c>
      <c r="I21" s="11">
        <v>1146.95</v>
      </c>
      <c r="J21" s="11">
        <v>899.1</v>
      </c>
      <c r="K21" s="11">
        <f t="shared" si="2"/>
        <v>29109.25</v>
      </c>
    </row>
    <row r="22" spans="1:12" ht="18.600000000000001" thickBot="1" x14ac:dyDescent="0.3">
      <c r="A22" s="21" t="s">
        <v>41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11">
        <v>1270.5999999999999</v>
      </c>
      <c r="I22" s="11">
        <v>990.37</v>
      </c>
      <c r="J22" s="11">
        <v>911.06</v>
      </c>
      <c r="K22" s="11">
        <f t="shared" si="2"/>
        <v>3172.0299999999997</v>
      </c>
    </row>
    <row r="23" spans="1:12" ht="31.8" thickBot="1" x14ac:dyDescent="0.3">
      <c r="A23" s="21" t="s">
        <v>16</v>
      </c>
      <c r="B23" s="16">
        <v>450</v>
      </c>
      <c r="C23" s="16">
        <v>450</v>
      </c>
      <c r="D23" s="16">
        <v>450</v>
      </c>
      <c r="E23" s="16">
        <v>450</v>
      </c>
      <c r="F23" s="16">
        <v>450</v>
      </c>
      <c r="G23" s="16">
        <v>450</v>
      </c>
      <c r="H23" s="16">
        <v>450</v>
      </c>
      <c r="I23" s="16">
        <v>450</v>
      </c>
      <c r="J23" s="16">
        <v>500</v>
      </c>
      <c r="K23" s="16">
        <f t="shared" si="2"/>
        <v>4100</v>
      </c>
      <c r="L23" s="19"/>
    </row>
    <row r="24" spans="1:12" ht="18" thickBot="1" x14ac:dyDescent="0.3">
      <c r="A24" s="14" t="s">
        <v>33</v>
      </c>
      <c r="B24" s="15"/>
      <c r="C24" s="15"/>
      <c r="D24" s="15"/>
      <c r="E24" s="15"/>
      <c r="F24" s="15"/>
      <c r="G24" s="15"/>
      <c r="H24" s="15"/>
      <c r="I24" s="15"/>
      <c r="J24" s="15"/>
      <c r="K24" s="4"/>
    </row>
    <row r="25" spans="1:12" ht="18.600000000000001" thickBot="1" x14ac:dyDescent="0.3">
      <c r="A25" s="21" t="s">
        <v>18</v>
      </c>
      <c r="B25" s="11">
        <v>2434.09</v>
      </c>
      <c r="C25" s="11">
        <v>2434.09</v>
      </c>
      <c r="D25" s="11">
        <v>2434.09</v>
      </c>
      <c r="E25" s="11">
        <v>2434.09</v>
      </c>
      <c r="F25" s="11">
        <v>2434.09</v>
      </c>
      <c r="G25" s="11">
        <v>2434.09</v>
      </c>
      <c r="H25" s="11">
        <v>2434.09</v>
      </c>
      <c r="I25" s="11">
        <v>2434.09</v>
      </c>
      <c r="J25" s="11">
        <v>2434.09</v>
      </c>
      <c r="K25" s="11">
        <f t="shared" ref="K25:K39" si="4">SUM(B25:J25)</f>
        <v>21906.81</v>
      </c>
    </row>
    <row r="26" spans="1:12" ht="18.600000000000001" thickBot="1" x14ac:dyDescent="0.3">
      <c r="A26" s="21" t="s">
        <v>1</v>
      </c>
      <c r="B26" s="10">
        <v>141.6</v>
      </c>
      <c r="C26" s="11">
        <v>608</v>
      </c>
      <c r="D26" s="11">
        <v>608</v>
      </c>
      <c r="E26" s="11">
        <v>608</v>
      </c>
      <c r="F26" s="11">
        <v>608</v>
      </c>
      <c r="G26" s="11">
        <v>608</v>
      </c>
      <c r="H26" s="11">
        <v>608</v>
      </c>
      <c r="I26" s="11">
        <v>608</v>
      </c>
      <c r="J26" s="11">
        <v>608</v>
      </c>
      <c r="K26" s="11">
        <f t="shared" si="4"/>
        <v>5005.6000000000004</v>
      </c>
    </row>
    <row r="27" spans="1:12" ht="18.600000000000001" thickBot="1" x14ac:dyDescent="0.3">
      <c r="A27" s="21" t="s">
        <v>2</v>
      </c>
      <c r="B27" s="10">
        <v>1058.3</v>
      </c>
      <c r="C27" s="10">
        <v>1058.3</v>
      </c>
      <c r="D27" s="10">
        <v>1058.3</v>
      </c>
      <c r="E27" s="10">
        <v>1058.3</v>
      </c>
      <c r="F27" s="10">
        <v>1058.3</v>
      </c>
      <c r="G27" s="10">
        <v>1058.3</v>
      </c>
      <c r="H27" s="10">
        <v>1058.3</v>
      </c>
      <c r="I27" s="10">
        <v>1058.3</v>
      </c>
      <c r="J27" s="10">
        <v>1058.3</v>
      </c>
      <c r="K27" s="11">
        <f t="shared" si="4"/>
        <v>9524.6999999999989</v>
      </c>
    </row>
    <row r="28" spans="1:12" ht="18.600000000000001" thickBot="1" x14ac:dyDescent="0.3">
      <c r="A28" s="21" t="s">
        <v>3</v>
      </c>
      <c r="B28" s="10">
        <v>360.84</v>
      </c>
      <c r="C28" s="10">
        <v>360.84</v>
      </c>
      <c r="D28" s="10">
        <v>360.84</v>
      </c>
      <c r="E28" s="10">
        <v>360.84</v>
      </c>
      <c r="F28" s="10">
        <v>360.84</v>
      </c>
      <c r="G28" s="10">
        <v>360.84</v>
      </c>
      <c r="H28" s="10">
        <v>360.84</v>
      </c>
      <c r="I28" s="10">
        <v>360.84</v>
      </c>
      <c r="J28" s="10">
        <v>360.84</v>
      </c>
      <c r="K28" s="11">
        <f t="shared" si="4"/>
        <v>3247.5600000000004</v>
      </c>
    </row>
    <row r="29" spans="1:12" ht="18.600000000000001" thickBot="1" x14ac:dyDescent="0.3">
      <c r="A29" s="21" t="s">
        <v>4</v>
      </c>
      <c r="B29" s="11">
        <v>900.03</v>
      </c>
      <c r="C29" s="11">
        <v>887.9</v>
      </c>
      <c r="D29" s="11">
        <v>887.9</v>
      </c>
      <c r="E29" s="11">
        <v>888.07</v>
      </c>
      <c r="F29" s="11">
        <v>888.17</v>
      </c>
      <c r="G29" s="11">
        <v>916.39</v>
      </c>
      <c r="H29" s="11">
        <v>1037.26</v>
      </c>
      <c r="I29" s="11">
        <v>872.13</v>
      </c>
      <c r="J29" s="11">
        <v>941.75</v>
      </c>
      <c r="K29" s="11">
        <f t="shared" si="4"/>
        <v>8219.6</v>
      </c>
    </row>
    <row r="30" spans="1:12" ht="18.600000000000001" thickBot="1" x14ac:dyDescent="0.3">
      <c r="A30" s="21" t="s">
        <v>5</v>
      </c>
      <c r="B30" s="11">
        <v>550.29</v>
      </c>
      <c r="C30" s="11">
        <v>960.7</v>
      </c>
      <c r="D30" s="11">
        <v>1058.55</v>
      </c>
      <c r="E30" s="11">
        <v>1006.6</v>
      </c>
      <c r="F30" s="11">
        <v>913.25</v>
      </c>
      <c r="G30" s="11">
        <v>991.56</v>
      </c>
      <c r="H30" s="11">
        <v>1005.8</v>
      </c>
      <c r="I30" s="11">
        <v>1202.8</v>
      </c>
      <c r="J30" s="11">
        <v>895.85</v>
      </c>
      <c r="K30" s="11">
        <f t="shared" si="4"/>
        <v>8585.4</v>
      </c>
    </row>
    <row r="31" spans="1:12" ht="18.600000000000001" thickBot="1" x14ac:dyDescent="0.3">
      <c r="A31" s="9" t="s">
        <v>11</v>
      </c>
      <c r="B31" s="11">
        <v>12820.5</v>
      </c>
      <c r="C31" s="11">
        <v>12820.5</v>
      </c>
      <c r="D31" s="11">
        <v>12820.5</v>
      </c>
      <c r="E31" s="11">
        <v>12820.5</v>
      </c>
      <c r="F31" s="11">
        <v>12820.5</v>
      </c>
      <c r="G31" s="11">
        <v>12820.5</v>
      </c>
      <c r="H31" s="11">
        <v>12820.5</v>
      </c>
      <c r="I31" s="11">
        <v>12820.5</v>
      </c>
      <c r="J31" s="11">
        <v>12820.5</v>
      </c>
      <c r="K31" s="11">
        <f t="shared" si="4"/>
        <v>115384.5</v>
      </c>
    </row>
    <row r="32" spans="1:12" ht="18.600000000000001" thickBot="1" x14ac:dyDescent="0.3">
      <c r="A32" s="21" t="s">
        <v>28</v>
      </c>
      <c r="B32" s="11">
        <v>5980.38</v>
      </c>
      <c r="C32" s="20">
        <v>0</v>
      </c>
      <c r="D32" s="11">
        <v>236.56</v>
      </c>
      <c r="E32" s="11">
        <v>209.62</v>
      </c>
      <c r="F32" s="11">
        <v>5426.52</v>
      </c>
      <c r="G32" s="11">
        <v>1448.14</v>
      </c>
      <c r="H32" s="11">
        <v>2393.0100000000002</v>
      </c>
      <c r="I32" s="11">
        <v>4529.8</v>
      </c>
      <c r="J32" s="11">
        <v>4144.6899999999996</v>
      </c>
      <c r="K32" s="11">
        <f t="shared" si="4"/>
        <v>24368.720000000001</v>
      </c>
    </row>
    <row r="33" spans="1:11" ht="18.600000000000001" thickBot="1" x14ac:dyDescent="0.3">
      <c r="A33" s="21" t="s">
        <v>29</v>
      </c>
      <c r="B33" s="11">
        <v>751.57</v>
      </c>
      <c r="C33" s="11">
        <v>306.99</v>
      </c>
      <c r="D33" s="11">
        <v>778.85</v>
      </c>
      <c r="E33" s="11">
        <v>23.13</v>
      </c>
      <c r="F33" s="11">
        <v>693.03</v>
      </c>
      <c r="G33" s="11">
        <v>885.64</v>
      </c>
      <c r="H33" s="20">
        <v>0</v>
      </c>
      <c r="I33" s="20">
        <v>0</v>
      </c>
      <c r="J33" s="20">
        <v>0</v>
      </c>
      <c r="K33" s="11">
        <f t="shared" si="4"/>
        <v>3439.2099999999996</v>
      </c>
    </row>
    <row r="34" spans="1:11" ht="18.600000000000001" thickBot="1" x14ac:dyDescent="0.3">
      <c r="A34" s="21" t="s">
        <v>30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f t="shared" si="4"/>
        <v>0</v>
      </c>
    </row>
    <row r="35" spans="1:11" ht="18.600000000000001" thickBot="1" x14ac:dyDescent="0.3">
      <c r="A35" s="21" t="s">
        <v>8</v>
      </c>
      <c r="B35" s="11">
        <v>4032.94</v>
      </c>
      <c r="C35" s="11">
        <v>4032.94</v>
      </c>
      <c r="D35" s="11">
        <v>4032.94</v>
      </c>
      <c r="E35" s="11">
        <v>4032.94</v>
      </c>
      <c r="F35" s="11">
        <v>4032.94</v>
      </c>
      <c r="G35" s="11">
        <v>4032.94</v>
      </c>
      <c r="H35" s="11">
        <v>4032.94</v>
      </c>
      <c r="I35" s="11">
        <v>4032.94</v>
      </c>
      <c r="J35" s="11">
        <v>4032.94</v>
      </c>
      <c r="K35" s="11">
        <f t="shared" si="4"/>
        <v>36296.46</v>
      </c>
    </row>
    <row r="36" spans="1:11" ht="18.600000000000001" thickBot="1" x14ac:dyDescent="0.3">
      <c r="A36" s="21" t="s">
        <v>44</v>
      </c>
      <c r="B36" s="11">
        <v>1560</v>
      </c>
      <c r="C36" s="11">
        <v>1560</v>
      </c>
      <c r="D36" s="11">
        <v>1560</v>
      </c>
      <c r="E36" s="11">
        <v>1560</v>
      </c>
      <c r="F36" s="11">
        <v>1560</v>
      </c>
      <c r="G36" s="11">
        <v>1560</v>
      </c>
      <c r="H36" s="11">
        <v>1560</v>
      </c>
      <c r="I36" s="11">
        <v>1560</v>
      </c>
      <c r="J36" s="11">
        <v>1560</v>
      </c>
      <c r="K36" s="11">
        <f t="shared" si="4"/>
        <v>14040</v>
      </c>
    </row>
    <row r="37" spans="1:11" ht="18.600000000000001" thickBot="1" x14ac:dyDescent="0.3">
      <c r="A37" s="21" t="s">
        <v>41</v>
      </c>
      <c r="B37" s="11">
        <v>1250</v>
      </c>
      <c r="C37" s="11">
        <v>1250</v>
      </c>
      <c r="D37" s="11">
        <v>1250</v>
      </c>
      <c r="E37" s="11">
        <v>1250</v>
      </c>
      <c r="F37" s="11">
        <v>1250</v>
      </c>
      <c r="G37" s="20">
        <v>0</v>
      </c>
      <c r="H37" s="11">
        <v>1250</v>
      </c>
      <c r="I37" s="11">
        <v>793</v>
      </c>
      <c r="J37" s="11">
        <v>965</v>
      </c>
      <c r="K37" s="11">
        <f t="shared" si="4"/>
        <v>9258</v>
      </c>
    </row>
    <row r="38" spans="1:11" ht="18.600000000000001" thickBot="1" x14ac:dyDescent="0.3">
      <c r="A38" s="21" t="s">
        <v>6</v>
      </c>
      <c r="B38" s="11">
        <f t="shared" ref="B38:G38" si="5">B16*1%</f>
        <v>187.92990000000003</v>
      </c>
      <c r="C38" s="11">
        <f t="shared" si="5"/>
        <v>324.7328</v>
      </c>
      <c r="D38" s="11">
        <f t="shared" si="5"/>
        <v>357.35210000000001</v>
      </c>
      <c r="E38" s="11">
        <f t="shared" si="5"/>
        <v>340.03440000000001</v>
      </c>
      <c r="F38" s="11">
        <f t="shared" si="5"/>
        <v>308.9151</v>
      </c>
      <c r="G38" s="11">
        <f t="shared" si="5"/>
        <v>529.26199999999994</v>
      </c>
      <c r="H38" s="11">
        <f>H16*1%</f>
        <v>384.48099999999994</v>
      </c>
      <c r="I38" s="11">
        <f>I16*1%</f>
        <v>450.09199999999998</v>
      </c>
      <c r="J38" s="11">
        <f>J16*1%</f>
        <v>342.29180000000002</v>
      </c>
      <c r="K38" s="11">
        <f t="shared" si="4"/>
        <v>3225.0911000000001</v>
      </c>
    </row>
    <row r="39" spans="1:11" ht="18.600000000000001" thickBot="1" x14ac:dyDescent="0.3">
      <c r="A39" s="21" t="s">
        <v>12</v>
      </c>
      <c r="B39" s="20">
        <v>0</v>
      </c>
      <c r="C39" s="11">
        <v>3720.7</v>
      </c>
      <c r="D39" s="11">
        <v>295.10000000000002</v>
      </c>
      <c r="E39" s="11">
        <v>4679</v>
      </c>
      <c r="F39" s="11">
        <v>25506.400000000001</v>
      </c>
      <c r="G39" s="20">
        <v>0</v>
      </c>
      <c r="H39" s="20">
        <v>0</v>
      </c>
      <c r="I39" s="11">
        <v>184307.6</v>
      </c>
      <c r="J39" s="11">
        <v>5067.3999999999996</v>
      </c>
      <c r="K39" s="11">
        <f t="shared" si="4"/>
        <v>223576.19999999998</v>
      </c>
    </row>
    <row r="40" spans="1:11" ht="18" thickBot="1" x14ac:dyDescent="0.3">
      <c r="A40" s="7" t="s">
        <v>32</v>
      </c>
      <c r="B40" s="8">
        <f t="shared" ref="B40:K40" si="6">SUM(B25:B39)</f>
        <v>32028.4699</v>
      </c>
      <c r="C40" s="8">
        <f t="shared" si="6"/>
        <v>30325.692800000004</v>
      </c>
      <c r="D40" s="8">
        <f t="shared" si="6"/>
        <v>27738.982099999997</v>
      </c>
      <c r="E40" s="8">
        <f t="shared" si="6"/>
        <v>31271.124400000001</v>
      </c>
      <c r="F40" s="8">
        <f t="shared" si="6"/>
        <v>57860.955099999999</v>
      </c>
      <c r="G40" s="8">
        <f t="shared" si="6"/>
        <v>27645.661999999997</v>
      </c>
      <c r="H40" s="8">
        <f>SUM(H25:H39)</f>
        <v>28945.221000000001</v>
      </c>
      <c r="I40" s="8">
        <f>SUM(I25:I39)</f>
        <v>215030.092</v>
      </c>
      <c r="J40" s="8">
        <f>SUM(J25:J39)</f>
        <v>35231.6518</v>
      </c>
      <c r="K40" s="8">
        <f t="shared" si="6"/>
        <v>486077.85109999997</v>
      </c>
    </row>
    <row r="41" spans="1:11" ht="18.600000000000001" thickBot="1" x14ac:dyDescent="0.3">
      <c r="A41" s="9" t="s">
        <v>7</v>
      </c>
      <c r="B41" s="17">
        <f t="shared" ref="B41:K41" si="7">B16-B40</f>
        <v>-13235.479899999998</v>
      </c>
      <c r="C41" s="17">
        <f t="shared" si="7"/>
        <v>2147.5871999999945</v>
      </c>
      <c r="D41" s="24">
        <f t="shared" si="7"/>
        <v>7996.2279000000017</v>
      </c>
      <c r="E41" s="17">
        <f t="shared" si="7"/>
        <v>2732.3156000000017</v>
      </c>
      <c r="F41" s="17">
        <f t="shared" si="7"/>
        <v>-26969.445100000001</v>
      </c>
      <c r="G41" s="17">
        <f t="shared" si="7"/>
        <v>25280.538</v>
      </c>
      <c r="H41" s="17">
        <f>H16-H40</f>
        <v>9502.8789999999899</v>
      </c>
      <c r="I41" s="17">
        <f>I16-I40</f>
        <v>-170020.89199999999</v>
      </c>
      <c r="J41" s="17">
        <f>J16-J40</f>
        <v>-1002.4717999999993</v>
      </c>
      <c r="K41" s="11">
        <f t="shared" si="7"/>
        <v>-163568.74109999998</v>
      </c>
    </row>
    <row r="42" spans="1:11" ht="18.600000000000001" thickBot="1" x14ac:dyDescent="0.3">
      <c r="A42" s="9" t="s">
        <v>9</v>
      </c>
      <c r="B42" s="22">
        <f>B6+B41</f>
        <v>2931.1001000000015</v>
      </c>
      <c r="C42" s="16">
        <f t="shared" ref="C42:J42" si="8">B42+C41</f>
        <v>5078.687299999996</v>
      </c>
      <c r="D42" s="16">
        <f t="shared" si="8"/>
        <v>13074.915199999998</v>
      </c>
      <c r="E42" s="16">
        <f t="shared" si="8"/>
        <v>15807.230799999999</v>
      </c>
      <c r="F42" s="26">
        <f t="shared" si="8"/>
        <v>-11162.214300000001</v>
      </c>
      <c r="G42" s="26">
        <f t="shared" si="8"/>
        <v>14118.323699999999</v>
      </c>
      <c r="H42" s="16">
        <f t="shared" si="8"/>
        <v>23621.202699999987</v>
      </c>
      <c r="I42" s="26">
        <f t="shared" si="8"/>
        <v>-146399.6893</v>
      </c>
      <c r="J42" s="26">
        <f t="shared" si="8"/>
        <v>-147402.1611</v>
      </c>
      <c r="K42" s="17">
        <f>K6+K41</f>
        <v>-147402.1611</v>
      </c>
    </row>
    <row r="43" spans="1:11" ht="18" thickBot="1" x14ac:dyDescent="0.3">
      <c r="A43" s="14" t="s">
        <v>13</v>
      </c>
      <c r="B43" s="18">
        <f t="shared" ref="B43:K43" si="9">B7+B16-B8</f>
        <v>-139495.59</v>
      </c>
      <c r="C43" s="18">
        <f t="shared" si="9"/>
        <v>-149848.28</v>
      </c>
      <c r="D43" s="25">
        <f t="shared" si="9"/>
        <v>-156939.04</v>
      </c>
      <c r="E43" s="18">
        <f t="shared" si="9"/>
        <v>-165769.16999999998</v>
      </c>
      <c r="F43" s="18">
        <f t="shared" si="9"/>
        <v>-177715.63999999996</v>
      </c>
      <c r="G43" s="18">
        <f t="shared" si="9"/>
        <v>-168248.35999999996</v>
      </c>
      <c r="H43" s="18">
        <f>H7+H16-H8</f>
        <v>-179220.38999999996</v>
      </c>
      <c r="I43" s="18">
        <f>I7+I16-I8</f>
        <v>-174004.50999999995</v>
      </c>
      <c r="J43" s="18">
        <f>J7+J16-J8</f>
        <v>-184423.56999999995</v>
      </c>
      <c r="K43" s="23">
        <f t="shared" si="9"/>
        <v>-184423.57000000004</v>
      </c>
    </row>
  </sheetData>
  <mergeCells count="2">
    <mergeCell ref="A1:K1"/>
    <mergeCell ref="A2:K2"/>
  </mergeCells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35" zoomScale="85" zoomScaleNormal="85" workbookViewId="0">
      <selection activeCell="E47" sqref="E47"/>
    </sheetView>
  </sheetViews>
  <sheetFormatPr defaultRowHeight="13.2" x14ac:dyDescent="0.25"/>
  <cols>
    <col min="1" max="1" width="54.44140625" customWidth="1"/>
    <col min="2" max="2" width="13.33203125" customWidth="1"/>
    <col min="3" max="4" width="13.6640625" customWidth="1"/>
    <col min="5" max="5" width="13.33203125" customWidth="1"/>
    <col min="6" max="10" width="13.6640625" customWidth="1"/>
    <col min="11" max="14" width="13.5546875" customWidth="1"/>
  </cols>
  <sheetData>
    <row r="1" spans="1:18" ht="17.399999999999999" x14ac:dyDescent="0.3">
      <c r="A1" s="44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8" ht="20.25" customHeight="1" x14ac:dyDescent="0.35">
      <c r="A2" s="46" t="s">
        <v>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8" ht="7.5" customHeight="1" thickBot="1" x14ac:dyDescent="0.3">
      <c r="A3" s="1"/>
      <c r="R3" s="2"/>
    </row>
    <row r="4" spans="1:18" ht="3" hidden="1" customHeight="1" x14ac:dyDescent="0.25">
      <c r="A4" s="1"/>
    </row>
    <row r="5" spans="1:18" ht="38.25" customHeight="1" thickBot="1" x14ac:dyDescent="0.3">
      <c r="A5" s="28" t="s">
        <v>0</v>
      </c>
      <c r="B5" s="29" t="s">
        <v>46</v>
      </c>
      <c r="C5" s="29" t="s">
        <v>47</v>
      </c>
      <c r="D5" s="29" t="s">
        <v>48</v>
      </c>
      <c r="E5" s="29" t="s">
        <v>49</v>
      </c>
      <c r="F5" s="29" t="s">
        <v>50</v>
      </c>
      <c r="G5" s="29" t="s">
        <v>51</v>
      </c>
      <c r="H5" s="29" t="s">
        <v>52</v>
      </c>
      <c r="I5" s="29" t="s">
        <v>53</v>
      </c>
      <c r="J5" s="29" t="s">
        <v>54</v>
      </c>
      <c r="K5" s="29" t="s">
        <v>55</v>
      </c>
      <c r="L5" s="29" t="s">
        <v>56</v>
      </c>
      <c r="M5" s="29" t="s">
        <v>57</v>
      </c>
      <c r="N5" s="29" t="s">
        <v>58</v>
      </c>
    </row>
    <row r="6" spans="1:18" ht="24" customHeight="1" thickBot="1" x14ac:dyDescent="0.3">
      <c r="A6" s="30" t="s">
        <v>17</v>
      </c>
      <c r="B6" s="31">
        <v>-598063.41</v>
      </c>
      <c r="C6" s="31">
        <f t="shared" ref="C6:D7" si="0">B42</f>
        <v>-634792.38056000008</v>
      </c>
      <c r="D6" s="31">
        <f t="shared" si="0"/>
        <v>-636029.13546000014</v>
      </c>
      <c r="E6" s="31">
        <f t="shared" ref="E6:G7" si="1">D42</f>
        <v>-630541.3493900001</v>
      </c>
      <c r="F6" s="31">
        <f t="shared" si="1"/>
        <v>-790898.58168000006</v>
      </c>
      <c r="G6" s="31">
        <f t="shared" si="1"/>
        <v>-845956.38927000004</v>
      </c>
      <c r="H6" s="31">
        <f t="shared" ref="H6:H7" si="2">G42</f>
        <v>-851850.29396000004</v>
      </c>
      <c r="I6" s="31">
        <f t="shared" ref="I6:I7" si="3">H42</f>
        <v>-847651.65450000006</v>
      </c>
      <c r="J6" s="31">
        <f t="shared" ref="J6:J7" si="4">I42</f>
        <v>-854351.57467</v>
      </c>
      <c r="K6" s="31">
        <f t="shared" ref="K6:K7" si="5">J42</f>
        <v>-783629.47563999996</v>
      </c>
      <c r="L6" s="31">
        <f t="shared" ref="L6:L7" si="6">K42</f>
        <v>-804635.79836000002</v>
      </c>
      <c r="M6" s="31">
        <f t="shared" ref="M6:M7" si="7">L42</f>
        <v>-794529.04166999995</v>
      </c>
      <c r="N6" s="31">
        <f>B6</f>
        <v>-598063.41</v>
      </c>
    </row>
    <row r="7" spans="1:18" ht="23.4" customHeight="1" thickBot="1" x14ac:dyDescent="0.3">
      <c r="A7" s="30" t="s">
        <v>15</v>
      </c>
      <c r="B7" s="31">
        <v>-946838.91</v>
      </c>
      <c r="C7" s="31">
        <f t="shared" si="0"/>
        <v>-947685.19000000006</v>
      </c>
      <c r="D7" s="31">
        <f t="shared" si="0"/>
        <v>-989907.85000000009</v>
      </c>
      <c r="E7" s="31">
        <f t="shared" si="1"/>
        <v>-982711.69000000006</v>
      </c>
      <c r="F7" s="31">
        <f t="shared" si="1"/>
        <v>-1015818.5300000001</v>
      </c>
      <c r="G7" s="31">
        <f t="shared" si="1"/>
        <v>-1024813.3700000002</v>
      </c>
      <c r="H7" s="31">
        <f t="shared" si="2"/>
        <v>-1057977.5700000003</v>
      </c>
      <c r="I7" s="31">
        <f t="shared" si="3"/>
        <v>-1066828.0800000003</v>
      </c>
      <c r="J7" s="31">
        <f t="shared" si="4"/>
        <v>-1086001.3100000003</v>
      </c>
      <c r="K7" s="31">
        <f t="shared" si="5"/>
        <v>-994129.70000000019</v>
      </c>
      <c r="L7" s="31">
        <f t="shared" si="6"/>
        <v>-1015793.0200000003</v>
      </c>
      <c r="M7" s="31">
        <f t="shared" si="7"/>
        <v>-1020777.5300000003</v>
      </c>
      <c r="N7" s="31">
        <f>B7</f>
        <v>-946838.91</v>
      </c>
    </row>
    <row r="8" spans="1:18" ht="24.6" customHeight="1" thickBot="1" x14ac:dyDescent="0.3">
      <c r="A8" s="32" t="s">
        <v>14</v>
      </c>
      <c r="B8" s="33">
        <f t="shared" ref="B8:M8" si="8">SUM(B9:B16)</f>
        <v>87616.24000000002</v>
      </c>
      <c r="C8" s="33">
        <f t="shared" si="8"/>
        <v>105708.12000000002</v>
      </c>
      <c r="D8" s="33">
        <f t="shared" si="8"/>
        <v>82512.360000000015</v>
      </c>
      <c r="E8" s="33">
        <f t="shared" si="8"/>
        <v>100232.91000000002</v>
      </c>
      <c r="F8" s="33">
        <f t="shared" si="8"/>
        <v>79783.810000000012</v>
      </c>
      <c r="G8" s="33">
        <f t="shared" si="8"/>
        <v>93725.5</v>
      </c>
      <c r="H8" s="33">
        <f t="shared" si="8"/>
        <v>86612.73000000001</v>
      </c>
      <c r="I8" s="33">
        <f t="shared" si="8"/>
        <v>97729.360000000015</v>
      </c>
      <c r="J8" s="33">
        <f t="shared" si="8"/>
        <v>94720.46</v>
      </c>
      <c r="K8" s="33">
        <f t="shared" si="8"/>
        <v>94666.69</v>
      </c>
      <c r="L8" s="33">
        <f t="shared" si="8"/>
        <v>93866.430000000008</v>
      </c>
      <c r="M8" s="33">
        <f t="shared" si="8"/>
        <v>101699.44</v>
      </c>
      <c r="N8" s="33">
        <f>SUM(B8:M8)</f>
        <v>1118874.0500000003</v>
      </c>
    </row>
    <row r="9" spans="1:18" ht="22.2" customHeight="1" thickBot="1" x14ac:dyDescent="0.3">
      <c r="A9" s="27" t="s">
        <v>61</v>
      </c>
      <c r="B9" s="34">
        <f t="shared" ref="B9:G9" si="9">62203.52+885.43+1095.91</f>
        <v>64184.86</v>
      </c>
      <c r="C9" s="34">
        <f t="shared" si="9"/>
        <v>64184.86</v>
      </c>
      <c r="D9" s="34">
        <f t="shared" si="9"/>
        <v>64184.86</v>
      </c>
      <c r="E9" s="34">
        <f t="shared" si="9"/>
        <v>64184.86</v>
      </c>
      <c r="F9" s="34">
        <f t="shared" si="9"/>
        <v>64184.86</v>
      </c>
      <c r="G9" s="34">
        <f t="shared" si="9"/>
        <v>64184.86</v>
      </c>
      <c r="H9" s="34">
        <f t="shared" ref="H9:M9" si="10">71283.17+885.43+1095.91</f>
        <v>73264.509999999995</v>
      </c>
      <c r="I9" s="34">
        <f t="shared" si="10"/>
        <v>73264.509999999995</v>
      </c>
      <c r="J9" s="34">
        <f t="shared" si="10"/>
        <v>73264.509999999995</v>
      </c>
      <c r="K9" s="34">
        <f t="shared" si="10"/>
        <v>73264.509999999995</v>
      </c>
      <c r="L9" s="34">
        <f t="shared" si="10"/>
        <v>73264.509999999995</v>
      </c>
      <c r="M9" s="34">
        <f t="shared" si="10"/>
        <v>73264.509999999995</v>
      </c>
      <c r="N9" s="34">
        <f>SUM(B9:M9)</f>
        <v>824696.22</v>
      </c>
    </row>
    <row r="10" spans="1:18" ht="21" customHeight="1" thickBot="1" x14ac:dyDescent="0.3">
      <c r="A10" s="27" t="s">
        <v>19</v>
      </c>
      <c r="B10" s="34">
        <v>3651.96</v>
      </c>
      <c r="C10" s="34">
        <v>3651.96</v>
      </c>
      <c r="D10" s="34">
        <v>3651.96</v>
      </c>
      <c r="E10" s="34">
        <f>3097.45+554.51</f>
        <v>3651.96</v>
      </c>
      <c r="F10" s="34">
        <f>3097.45+554.51</f>
        <v>3651.96</v>
      </c>
      <c r="G10" s="34">
        <f>3097.45+554.51</f>
        <v>3651.96</v>
      </c>
      <c r="H10" s="34">
        <f>3549.57+635.45</f>
        <v>4185.0200000000004</v>
      </c>
      <c r="I10" s="34">
        <f>3549.57+635.45</f>
        <v>4185.0200000000004</v>
      </c>
      <c r="J10" s="34">
        <f>3549.57+635.45</f>
        <v>4185.0200000000004</v>
      </c>
      <c r="K10" s="34">
        <f>3549.57+635.45</f>
        <v>4185.0200000000004</v>
      </c>
      <c r="L10" s="34">
        <f>3549.57+635.45</f>
        <v>4185.0200000000004</v>
      </c>
      <c r="M10" s="34">
        <f>3549.57+635.45</f>
        <v>4185.0200000000004</v>
      </c>
      <c r="N10" s="34">
        <f>SUM(B10:M10)</f>
        <v>47021.880000000005</v>
      </c>
    </row>
    <row r="11" spans="1:18" ht="21" customHeight="1" thickBot="1" x14ac:dyDescent="0.3">
      <c r="A11" s="27" t="s">
        <v>25</v>
      </c>
      <c r="B11" s="34">
        <v>888.35</v>
      </c>
      <c r="C11" s="34">
        <v>888.35</v>
      </c>
      <c r="D11" s="34">
        <v>888.35</v>
      </c>
      <c r="E11" s="34">
        <v>888.35</v>
      </c>
      <c r="F11" s="34">
        <v>888.35</v>
      </c>
      <c r="G11" s="34">
        <f>9516+916.15</f>
        <v>10432.15</v>
      </c>
      <c r="H11" s="34">
        <v>-8267.08</v>
      </c>
      <c r="I11" s="34">
        <v>924.05</v>
      </c>
      <c r="J11" s="34">
        <v>924.05</v>
      </c>
      <c r="K11" s="34">
        <f>2523.67+85.27</f>
        <v>2608.94</v>
      </c>
      <c r="L11" s="34">
        <v>924.05</v>
      </c>
      <c r="M11" s="34">
        <v>946.9</v>
      </c>
      <c r="N11" s="34">
        <f>SUM(B11:M11)</f>
        <v>12934.81</v>
      </c>
    </row>
    <row r="12" spans="1:18" ht="21" customHeight="1" thickBot="1" x14ac:dyDescent="0.3">
      <c r="A12" s="27" t="s">
        <v>26</v>
      </c>
      <c r="B12" s="34">
        <v>275.01</v>
      </c>
      <c r="C12" s="34">
        <v>317.86</v>
      </c>
      <c r="D12" s="34">
        <v>275.01</v>
      </c>
      <c r="E12" s="34">
        <v>275.01</v>
      </c>
      <c r="F12" s="34">
        <v>275.01</v>
      </c>
      <c r="G12" s="34">
        <v>275.01</v>
      </c>
      <c r="H12" s="34">
        <f>570.1+29.75</f>
        <v>599.85</v>
      </c>
      <c r="I12" s="34">
        <f>907.01+43.63</f>
        <v>950.64</v>
      </c>
      <c r="J12" s="34">
        <f>424.57+13.88</f>
        <v>438.45</v>
      </c>
      <c r="K12" s="34">
        <v>-11857.85</v>
      </c>
      <c r="L12" s="34">
        <f>834.62+41.64</f>
        <v>876.26</v>
      </c>
      <c r="M12" s="34">
        <f>424.1+13.88</f>
        <v>437.98</v>
      </c>
      <c r="N12" s="34">
        <f t="shared" ref="N12" si="11">SUM(B12:M12)</f>
        <v>-6861.76</v>
      </c>
    </row>
    <row r="13" spans="1:18" ht="21" customHeight="1" thickBot="1" x14ac:dyDescent="0.3">
      <c r="A13" s="27" t="s">
        <v>27</v>
      </c>
      <c r="B13" s="34">
        <v>10223.549999999999</v>
      </c>
      <c r="C13" s="34">
        <v>28272.58</v>
      </c>
      <c r="D13" s="34">
        <v>5119.67</v>
      </c>
      <c r="E13" s="34">
        <f>22485.26+354.96</f>
        <v>22840.219999999998</v>
      </c>
      <c r="F13" s="34">
        <f>2363.36+27.76</f>
        <v>2391.1200000000003</v>
      </c>
      <c r="G13" s="34">
        <f>6660.11+128.9</f>
        <v>6789.0099999999993</v>
      </c>
      <c r="H13" s="34">
        <f>8174.07+253.82</f>
        <v>8427.89</v>
      </c>
      <c r="I13" s="34">
        <f>9939.14+63.46</f>
        <v>10002.599999999999</v>
      </c>
      <c r="J13" s="34">
        <f>7355.18+150.71</f>
        <v>7505.89</v>
      </c>
      <c r="K13" s="34">
        <f>17772.03+291.5</f>
        <v>18063.53</v>
      </c>
      <c r="L13" s="34">
        <f>6124.81+89.24</f>
        <v>6214.05</v>
      </c>
      <c r="M13" s="34">
        <f>14103.57+358.92</f>
        <v>14462.49</v>
      </c>
      <c r="N13" s="34">
        <f t="shared" ref="N13:N25" si="12">SUM(B13:M13)</f>
        <v>140312.59999999998</v>
      </c>
    </row>
    <row r="14" spans="1:18" ht="21" customHeight="1" thickBot="1" x14ac:dyDescent="0.3">
      <c r="A14" s="27" t="s">
        <v>45</v>
      </c>
      <c r="B14" s="34">
        <v>589.96</v>
      </c>
      <c r="C14" s="34">
        <v>589.96</v>
      </c>
      <c r="D14" s="34">
        <v>589.96</v>
      </c>
      <c r="E14" s="34">
        <f>562.2+27.76</f>
        <v>589.96</v>
      </c>
      <c r="F14" s="34">
        <f>562.2+27.76</f>
        <v>589.96</v>
      </c>
      <c r="G14" s="34">
        <f>562.2+27.76</f>
        <v>589.96</v>
      </c>
      <c r="H14" s="34">
        <f>572.23+27.76</f>
        <v>599.99</v>
      </c>
      <c r="I14" s="34">
        <f>572.23+27.76</f>
        <v>599.99</v>
      </c>
      <c r="J14" s="34">
        <f>572.23+27.76</f>
        <v>599.99</v>
      </c>
      <c r="K14" s="34">
        <f>572.23+27.76</f>
        <v>599.99</v>
      </c>
      <c r="L14" s="34">
        <f>572.23+27.76</f>
        <v>599.99</v>
      </c>
      <c r="M14" s="34">
        <f>572.23+27.76</f>
        <v>599.99</v>
      </c>
      <c r="N14" s="34">
        <f t="shared" si="12"/>
        <v>7139.6999999999989</v>
      </c>
    </row>
    <row r="15" spans="1:18" ht="21" customHeight="1" thickBot="1" x14ac:dyDescent="0.3">
      <c r="A15" s="27" t="s">
        <v>41</v>
      </c>
      <c r="B15" s="34">
        <v>6902.55</v>
      </c>
      <c r="C15" s="34">
        <v>6902.55</v>
      </c>
      <c r="D15" s="34">
        <v>6902.55</v>
      </c>
      <c r="E15" s="34">
        <f t="shared" ref="E15:J15" si="13">6852.55+50</f>
        <v>6902.55</v>
      </c>
      <c r="F15" s="34">
        <f t="shared" si="13"/>
        <v>6902.55</v>
      </c>
      <c r="G15" s="34">
        <f t="shared" si="13"/>
        <v>6902.55</v>
      </c>
      <c r="H15" s="34">
        <f t="shared" si="13"/>
        <v>6902.55</v>
      </c>
      <c r="I15" s="34">
        <f t="shared" si="13"/>
        <v>6902.55</v>
      </c>
      <c r="J15" s="34">
        <f t="shared" si="13"/>
        <v>6902.55</v>
      </c>
      <c r="K15" s="34">
        <f>6852.55+50</f>
        <v>6902.55</v>
      </c>
      <c r="L15" s="34">
        <f>6852.55+50</f>
        <v>6902.55</v>
      </c>
      <c r="M15" s="34">
        <f>6852.55+50</f>
        <v>6902.55</v>
      </c>
      <c r="N15" s="34">
        <f t="shared" si="12"/>
        <v>82830.60000000002</v>
      </c>
    </row>
    <row r="16" spans="1:18" ht="21" customHeight="1" thickBot="1" x14ac:dyDescent="0.3">
      <c r="A16" s="27" t="s">
        <v>16</v>
      </c>
      <c r="B16" s="34">
        <v>900</v>
      </c>
      <c r="C16" s="34">
        <v>900</v>
      </c>
      <c r="D16" s="34">
        <v>900</v>
      </c>
      <c r="E16" s="34">
        <v>900</v>
      </c>
      <c r="F16" s="34">
        <v>900</v>
      </c>
      <c r="G16" s="34">
        <v>900</v>
      </c>
      <c r="H16" s="34">
        <v>900</v>
      </c>
      <c r="I16" s="34">
        <v>900</v>
      </c>
      <c r="J16" s="34">
        <v>900</v>
      </c>
      <c r="K16" s="34">
        <v>900</v>
      </c>
      <c r="L16" s="34">
        <v>900</v>
      </c>
      <c r="M16" s="34">
        <v>900</v>
      </c>
      <c r="N16" s="34">
        <f t="shared" si="12"/>
        <v>10800</v>
      </c>
    </row>
    <row r="17" spans="1:14" ht="26.4" customHeight="1" thickBot="1" x14ac:dyDescent="0.3">
      <c r="A17" s="35" t="s">
        <v>10</v>
      </c>
      <c r="B17" s="36">
        <f t="shared" ref="B17:M17" si="14">SUM(B18:B25)</f>
        <v>86769.959999999992</v>
      </c>
      <c r="C17" s="36">
        <f t="shared" si="14"/>
        <v>63485.459999999992</v>
      </c>
      <c r="D17" s="36">
        <f t="shared" si="14"/>
        <v>89708.51999999999</v>
      </c>
      <c r="E17" s="36">
        <f t="shared" si="14"/>
        <v>67126.070000000007</v>
      </c>
      <c r="F17" s="36">
        <f t="shared" si="14"/>
        <v>70788.97</v>
      </c>
      <c r="G17" s="36">
        <f t="shared" si="14"/>
        <v>60561.299999999996</v>
      </c>
      <c r="H17" s="36">
        <f t="shared" si="14"/>
        <v>77762.22</v>
      </c>
      <c r="I17" s="36">
        <f t="shared" si="14"/>
        <v>78556.13</v>
      </c>
      <c r="J17" s="36">
        <f t="shared" si="14"/>
        <v>186592.07</v>
      </c>
      <c r="K17" s="36">
        <f t="shared" si="14"/>
        <v>73003.37</v>
      </c>
      <c r="L17" s="36">
        <f t="shared" si="14"/>
        <v>88881.920000000013</v>
      </c>
      <c r="M17" s="36">
        <f t="shared" si="14"/>
        <v>75356.099999999991</v>
      </c>
      <c r="N17" s="36">
        <f>SUM(B17:M17)</f>
        <v>1018592.09</v>
      </c>
    </row>
    <row r="18" spans="1:14" ht="20.399999999999999" customHeight="1" thickBot="1" x14ac:dyDescent="0.3">
      <c r="A18" s="27" t="s">
        <v>62</v>
      </c>
      <c r="B18" s="34">
        <f>58525.02+850.1+995.31</f>
        <v>60370.429999999993</v>
      </c>
      <c r="C18" s="34">
        <f>45442.24+549.51+823.84</f>
        <v>46815.59</v>
      </c>
      <c r="D18" s="34">
        <f>57359.38+712.79+100+962.66</f>
        <v>59134.83</v>
      </c>
      <c r="E18" s="34">
        <f>48306.66+708.48+1122.57</f>
        <v>50137.710000000006</v>
      </c>
      <c r="F18" s="34">
        <f>45051.49+643.08+952.89</f>
        <v>46647.46</v>
      </c>
      <c r="G18" s="34">
        <f>45045.13+616.92+788.12</f>
        <v>46450.17</v>
      </c>
      <c r="H18" s="34">
        <f>53596.66+691.51+1016.85</f>
        <v>55305.020000000004</v>
      </c>
      <c r="I18" s="34">
        <f>56848.05+1959.28+13.09+791.24</f>
        <v>59611.659999999996</v>
      </c>
      <c r="J18" s="34">
        <f>159210.3+1000.03+1241.81</f>
        <v>161452.13999999998</v>
      </c>
      <c r="K18" s="34">
        <f>54744.3+544.78+781.08</f>
        <v>56070.16</v>
      </c>
      <c r="L18" s="34">
        <f>60739.13+837.07+84.71+1235.64</f>
        <v>62896.549999999996</v>
      </c>
      <c r="M18" s="34">
        <f>57134.95+612.83+885.38</f>
        <v>58633.159999999996</v>
      </c>
      <c r="N18" s="34">
        <f t="shared" si="12"/>
        <v>763524.88000000012</v>
      </c>
    </row>
    <row r="19" spans="1:14" ht="22.8" customHeight="1" thickBot="1" x14ac:dyDescent="0.3">
      <c r="A19" s="27" t="s">
        <v>19</v>
      </c>
      <c r="B19" s="34">
        <v>3097.45</v>
      </c>
      <c r="C19" s="34">
        <v>3097.45</v>
      </c>
      <c r="D19" s="34">
        <v>3097.45</v>
      </c>
      <c r="E19" s="34">
        <f>3097.45+1663.53</f>
        <v>4760.9799999999996</v>
      </c>
      <c r="F19" s="34">
        <v>3097.45</v>
      </c>
      <c r="G19" s="34">
        <v>3097.45</v>
      </c>
      <c r="H19" s="34">
        <f>3097.45</f>
        <v>3097.45</v>
      </c>
      <c r="I19" s="34">
        <f>3549.57</f>
        <v>3549.57</v>
      </c>
      <c r="J19" s="34">
        <f>3549.57</f>
        <v>3549.57</v>
      </c>
      <c r="K19" s="34">
        <v>3549.57</v>
      </c>
      <c r="L19" s="34">
        <v>3549.57</v>
      </c>
      <c r="M19" s="34">
        <f>3549.57+1906.35</f>
        <v>5455.92</v>
      </c>
      <c r="N19" s="34">
        <f t="shared" si="12"/>
        <v>42999.88</v>
      </c>
    </row>
    <row r="20" spans="1:14" ht="22.8" customHeight="1" thickBot="1" x14ac:dyDescent="0.3">
      <c r="A20" s="27" t="s">
        <v>25</v>
      </c>
      <c r="B20" s="34">
        <v>911.49</v>
      </c>
      <c r="C20" s="34">
        <v>690.19</v>
      </c>
      <c r="D20" s="34">
        <v>694.2</v>
      </c>
      <c r="E20" s="34">
        <v>707.08</v>
      </c>
      <c r="F20" s="34">
        <v>577.32000000000005</v>
      </c>
      <c r="G20" s="34">
        <v>693.47</v>
      </c>
      <c r="H20" s="34">
        <f>6414.87+916.15</f>
        <v>7331.0199999999995</v>
      </c>
      <c r="I20" s="34">
        <v>612.37</v>
      </c>
      <c r="J20" s="34">
        <v>1122.26</v>
      </c>
      <c r="K20" s="34">
        <v>833.89</v>
      </c>
      <c r="L20" s="34">
        <f>1358.56+85.27</f>
        <v>1443.83</v>
      </c>
      <c r="M20" s="34">
        <v>663.57</v>
      </c>
      <c r="N20" s="34">
        <f t="shared" si="12"/>
        <v>16280.69</v>
      </c>
    </row>
    <row r="21" spans="1:14" ht="22.8" customHeight="1" thickBot="1" x14ac:dyDescent="0.3">
      <c r="A21" s="27" t="s">
        <v>26</v>
      </c>
      <c r="B21" s="34">
        <v>781.55</v>
      </c>
      <c r="C21" s="34">
        <v>307.13</v>
      </c>
      <c r="D21" s="34">
        <v>364.43</v>
      </c>
      <c r="E21" s="34">
        <v>320.77999999999997</v>
      </c>
      <c r="F21" s="34">
        <v>281.60000000000002</v>
      </c>
      <c r="G21" s="34">
        <v>390.95</v>
      </c>
      <c r="H21" s="34">
        <v>268.93</v>
      </c>
      <c r="I21" s="34">
        <f>521.16+29.75</f>
        <v>550.91</v>
      </c>
      <c r="J21" s="34">
        <f>1907.59+43.63</f>
        <v>1951.22</v>
      </c>
      <c r="K21" s="34">
        <f>408.64+13.88</f>
        <v>422.52</v>
      </c>
      <c r="L21" s="34">
        <v>1.74</v>
      </c>
      <c r="M21" s="34">
        <f>20.66+41.64</f>
        <v>62.3</v>
      </c>
      <c r="N21" s="34">
        <f t="shared" si="12"/>
        <v>5704.0599999999986</v>
      </c>
    </row>
    <row r="22" spans="1:14" ht="22.8" customHeight="1" thickBot="1" x14ac:dyDescent="0.3">
      <c r="A22" s="27" t="s">
        <v>27</v>
      </c>
      <c r="B22" s="34">
        <v>14306.31</v>
      </c>
      <c r="C22" s="34">
        <v>7187.2</v>
      </c>
      <c r="D22" s="34">
        <v>20128.689999999999</v>
      </c>
      <c r="E22" s="34">
        <f>4861.5+19.83</f>
        <v>4881.33</v>
      </c>
      <c r="F22" s="34">
        <f>13621.16+354.96</f>
        <v>13976.119999999999</v>
      </c>
      <c r="G22" s="34">
        <f>3666.01+27.76</f>
        <v>3693.7700000000004</v>
      </c>
      <c r="H22" s="34">
        <f>5423.18+128.9</f>
        <v>5552.08</v>
      </c>
      <c r="I22" s="34">
        <f>7423.32+253.82</f>
        <v>7677.1399999999994</v>
      </c>
      <c r="J22" s="34">
        <f>11336.32+63.46</f>
        <v>11399.779999999999</v>
      </c>
      <c r="K22" s="34">
        <f>6377.49+150.71</f>
        <v>6528.2</v>
      </c>
      <c r="L22" s="34">
        <f>13098.07+291.5</f>
        <v>13389.57</v>
      </c>
      <c r="M22" s="34">
        <f>4738.41+89.24</f>
        <v>4827.6499999999996</v>
      </c>
      <c r="N22" s="34">
        <f t="shared" si="12"/>
        <v>113547.84</v>
      </c>
    </row>
    <row r="23" spans="1:14" ht="22.8" customHeight="1" thickBot="1" x14ac:dyDescent="0.3">
      <c r="A23" s="27" t="s">
        <v>45</v>
      </c>
      <c r="B23" s="34">
        <v>562.03</v>
      </c>
      <c r="C23" s="34">
        <v>475.32</v>
      </c>
      <c r="D23" s="34">
        <v>533.91</v>
      </c>
      <c r="E23" s="34">
        <f>435.18+27.76</f>
        <v>462.94</v>
      </c>
      <c r="F23" s="34">
        <f>378.25+27.76</f>
        <v>406.01</v>
      </c>
      <c r="G23" s="34">
        <f>423.91+27.76</f>
        <v>451.67</v>
      </c>
      <c r="H23" s="34">
        <f>473.12+27.76</f>
        <v>500.88</v>
      </c>
      <c r="I23" s="34">
        <f>466.31+27.76</f>
        <v>494.07</v>
      </c>
      <c r="J23" s="34">
        <f>583.84+27.76</f>
        <v>611.6</v>
      </c>
      <c r="K23" s="34">
        <f>462.33+27.76</f>
        <v>490.09</v>
      </c>
      <c r="L23" s="34">
        <f>481.44+27.76</f>
        <v>509.2</v>
      </c>
      <c r="M23" s="34">
        <f>439.38+27.76</f>
        <v>467.14</v>
      </c>
      <c r="N23" s="34">
        <f t="shared" si="12"/>
        <v>5964.8600000000006</v>
      </c>
    </row>
    <row r="24" spans="1:14" ht="22.8" customHeight="1" thickBot="1" x14ac:dyDescent="0.3">
      <c r="A24" s="27" t="s">
        <v>41</v>
      </c>
      <c r="B24" s="34">
        <v>5840.7</v>
      </c>
      <c r="C24" s="34">
        <v>4012.58</v>
      </c>
      <c r="D24" s="34">
        <v>4855.01</v>
      </c>
      <c r="E24" s="34">
        <f>4905.25+50</f>
        <v>4955.25</v>
      </c>
      <c r="F24" s="34">
        <f>4853.01+50</f>
        <v>4903.01</v>
      </c>
      <c r="G24" s="34">
        <f>4833.82+50</f>
        <v>4883.82</v>
      </c>
      <c r="H24" s="34">
        <f>4756.84+50</f>
        <v>4806.84</v>
      </c>
      <c r="I24" s="34">
        <f>5110.41+50</f>
        <v>5160.41</v>
      </c>
      <c r="J24" s="34">
        <f>5555.5+50</f>
        <v>5605.5</v>
      </c>
      <c r="K24" s="34">
        <f>4158.94+50</f>
        <v>4208.9399999999996</v>
      </c>
      <c r="L24" s="34">
        <f>6141.46+50</f>
        <v>6191.46</v>
      </c>
      <c r="M24" s="34">
        <f>4296.36+50</f>
        <v>4346.3599999999997</v>
      </c>
      <c r="N24" s="34">
        <f t="shared" si="12"/>
        <v>59769.880000000012</v>
      </c>
    </row>
    <row r="25" spans="1:14" ht="22.8" customHeight="1" thickBot="1" x14ac:dyDescent="0.3">
      <c r="A25" s="27" t="s">
        <v>16</v>
      </c>
      <c r="B25" s="34">
        <v>900</v>
      </c>
      <c r="C25" s="34">
        <v>900</v>
      </c>
      <c r="D25" s="34">
        <v>900</v>
      </c>
      <c r="E25" s="34">
        <v>900</v>
      </c>
      <c r="F25" s="34">
        <v>900</v>
      </c>
      <c r="G25" s="34">
        <v>900</v>
      </c>
      <c r="H25" s="34">
        <v>900</v>
      </c>
      <c r="I25" s="34">
        <v>900</v>
      </c>
      <c r="J25" s="34">
        <v>900</v>
      </c>
      <c r="K25" s="34">
        <v>900</v>
      </c>
      <c r="L25" s="34">
        <v>900</v>
      </c>
      <c r="M25" s="34">
        <v>900</v>
      </c>
      <c r="N25" s="34">
        <f t="shared" si="12"/>
        <v>10800</v>
      </c>
    </row>
    <row r="26" spans="1:14" ht="20.25" customHeight="1" thickBot="1" x14ac:dyDescent="0.3">
      <c r="A26" s="38" t="s">
        <v>33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0"/>
    </row>
    <row r="27" spans="1:14" ht="19.2" customHeight="1" thickBot="1" x14ac:dyDescent="0.3">
      <c r="A27" s="27" t="s">
        <v>2</v>
      </c>
      <c r="B27" s="34">
        <f t="shared" ref="B27:M27" si="15">4217.8*0.55</f>
        <v>2319.7900000000004</v>
      </c>
      <c r="C27" s="34">
        <f t="shared" si="15"/>
        <v>2319.7900000000004</v>
      </c>
      <c r="D27" s="34">
        <f t="shared" si="15"/>
        <v>2319.7900000000004</v>
      </c>
      <c r="E27" s="34">
        <f t="shared" si="15"/>
        <v>2319.7900000000004</v>
      </c>
      <c r="F27" s="34">
        <f t="shared" si="15"/>
        <v>2319.7900000000004</v>
      </c>
      <c r="G27" s="34">
        <f t="shared" si="15"/>
        <v>2319.7900000000004</v>
      </c>
      <c r="H27" s="34">
        <f t="shared" si="15"/>
        <v>2319.7900000000004</v>
      </c>
      <c r="I27" s="34">
        <f t="shared" si="15"/>
        <v>2319.7900000000004</v>
      </c>
      <c r="J27" s="34">
        <f t="shared" si="15"/>
        <v>2319.7900000000004</v>
      </c>
      <c r="K27" s="34">
        <f t="shared" si="15"/>
        <v>2319.7900000000004</v>
      </c>
      <c r="L27" s="34">
        <f t="shared" si="15"/>
        <v>2319.7900000000004</v>
      </c>
      <c r="M27" s="34">
        <f t="shared" si="15"/>
        <v>2319.7900000000004</v>
      </c>
      <c r="N27" s="34">
        <f>SUM(B27:M27)</f>
        <v>27837.480000000007</v>
      </c>
    </row>
    <row r="28" spans="1:14" ht="23.4" customHeight="1" thickBot="1" x14ac:dyDescent="0.3">
      <c r="A28" s="27" t="s">
        <v>3</v>
      </c>
      <c r="B28" s="34">
        <f t="shared" ref="B28:M28" si="16">4217.8*0.17</f>
        <v>717.02600000000007</v>
      </c>
      <c r="C28" s="34">
        <f t="shared" si="16"/>
        <v>717.02600000000007</v>
      </c>
      <c r="D28" s="34">
        <f t="shared" si="16"/>
        <v>717.02600000000007</v>
      </c>
      <c r="E28" s="34">
        <f t="shared" si="16"/>
        <v>717.02600000000007</v>
      </c>
      <c r="F28" s="34">
        <f t="shared" si="16"/>
        <v>717.02600000000007</v>
      </c>
      <c r="G28" s="34">
        <f t="shared" si="16"/>
        <v>717.02600000000007</v>
      </c>
      <c r="H28" s="34">
        <f t="shared" si="16"/>
        <v>717.02600000000007</v>
      </c>
      <c r="I28" s="34">
        <f t="shared" si="16"/>
        <v>717.02600000000007</v>
      </c>
      <c r="J28" s="34">
        <f t="shared" si="16"/>
        <v>717.02600000000007</v>
      </c>
      <c r="K28" s="34">
        <f t="shared" si="16"/>
        <v>717.02600000000007</v>
      </c>
      <c r="L28" s="34">
        <f t="shared" si="16"/>
        <v>717.02600000000007</v>
      </c>
      <c r="M28" s="34">
        <f t="shared" si="16"/>
        <v>717.02600000000007</v>
      </c>
      <c r="N28" s="34">
        <f>SUM(B28:M28)</f>
        <v>8604.3119999999999</v>
      </c>
    </row>
    <row r="29" spans="1:14" ht="23.4" customHeight="1" thickBot="1" x14ac:dyDescent="0.3">
      <c r="A29" s="27" t="s">
        <v>4</v>
      </c>
      <c r="B29" s="34">
        <f>82986.52*2.3%</f>
        <v>1908.6899600000002</v>
      </c>
      <c r="C29" s="34">
        <f>100447.8*2.3%</f>
        <v>2310.2993999999999</v>
      </c>
      <c r="D29" s="34">
        <f>77862.81*2.3%</f>
        <v>1790.8446299999998</v>
      </c>
      <c r="E29" s="34">
        <f>95248.23*2.3%</f>
        <v>2190.7092899999998</v>
      </c>
      <c r="F29" s="34">
        <f>75126.33*2.3%</f>
        <v>1727.9055900000001</v>
      </c>
      <c r="G29" s="34">
        <f>88050.73*2.3%</f>
        <v>2025.1667899999998</v>
      </c>
      <c r="H29" s="34">
        <f>81166.38*2.3%</f>
        <v>1866.82674</v>
      </c>
      <c r="I29" s="34">
        <f>92459.49*2.3%</f>
        <v>2126.5682700000002</v>
      </c>
      <c r="J29" s="34">
        <f>51642.89*2.3%</f>
        <v>1187.78647</v>
      </c>
      <c r="K29" s="34">
        <f>89127.14*2.3%</f>
        <v>2049.9242199999999</v>
      </c>
      <c r="L29" s="34">
        <f>88572.77*2.3%</f>
        <v>2037.17371</v>
      </c>
      <c r="M29" s="34">
        <f>96163.86*2.3%</f>
        <v>2211.7687799999999</v>
      </c>
      <c r="N29" s="34">
        <f t="shared" ref="N29:N39" si="17">SUM(B29:M29)</f>
        <v>23433.663849999997</v>
      </c>
    </row>
    <row r="30" spans="1:14" ht="23.4" customHeight="1" thickBot="1" x14ac:dyDescent="0.3">
      <c r="A30" s="27" t="s">
        <v>5</v>
      </c>
      <c r="B30" s="34">
        <f>82149.42*3%</f>
        <v>2464.4825999999998</v>
      </c>
      <c r="C30" s="34">
        <f>59410.25*3%</f>
        <v>1782.3074999999999</v>
      </c>
      <c r="D30" s="34">
        <f>85002.71*3%</f>
        <v>2550.0813000000003</v>
      </c>
      <c r="E30" s="34">
        <f>61367.5*3%</f>
        <v>1841.0249999999999</v>
      </c>
      <c r="F30" s="34">
        <f>66358.8*3%</f>
        <v>1990.7640000000001</v>
      </c>
      <c r="G30" s="34">
        <f>56458.33*3%</f>
        <v>1693.7499</v>
      </c>
      <c r="H30" s="34">
        <f>72641.96*3%</f>
        <v>2179.2588000000001</v>
      </c>
      <c r="I30" s="34">
        <f>73745.23*3%</f>
        <v>2212.3568999999998</v>
      </c>
      <c r="J30" s="34">
        <f>181957.65*3%</f>
        <v>5458.7294999999995</v>
      </c>
      <c r="K30" s="34">
        <f>68311.45*3%</f>
        <v>2049.3434999999999</v>
      </c>
      <c r="L30" s="34">
        <f>83977.82*3%</f>
        <v>2519.3346000000001</v>
      </c>
      <c r="M30" s="34">
        <f>68791.54*3%</f>
        <v>2063.7461999999996</v>
      </c>
      <c r="N30" s="34">
        <f t="shared" si="17"/>
        <v>28805.179799999998</v>
      </c>
    </row>
    <row r="31" spans="1:14" ht="23.4" customHeight="1" thickBot="1" x14ac:dyDescent="0.3">
      <c r="A31" s="27" t="s">
        <v>11</v>
      </c>
      <c r="B31" s="34">
        <v>31211.72</v>
      </c>
      <c r="C31" s="34">
        <v>31211.72</v>
      </c>
      <c r="D31" s="34">
        <v>31211.72</v>
      </c>
      <c r="E31" s="34">
        <v>31211.72</v>
      </c>
      <c r="F31" s="34">
        <v>31211.72</v>
      </c>
      <c r="G31" s="34">
        <v>31211.72</v>
      </c>
      <c r="H31" s="34">
        <f>4216.1*8.5</f>
        <v>35836.850000000006</v>
      </c>
      <c r="I31" s="34">
        <f t="shared" ref="I31:M31" si="18">4216.1*8.5</f>
        <v>35836.850000000006</v>
      </c>
      <c r="J31" s="34">
        <f t="shared" si="18"/>
        <v>35836.850000000006</v>
      </c>
      <c r="K31" s="34">
        <f t="shared" si="18"/>
        <v>35836.850000000006</v>
      </c>
      <c r="L31" s="34">
        <f t="shared" si="18"/>
        <v>35836.850000000006</v>
      </c>
      <c r="M31" s="34">
        <f t="shared" si="18"/>
        <v>35836.850000000006</v>
      </c>
      <c r="N31" s="34">
        <f t="shared" si="17"/>
        <v>402291.41999999993</v>
      </c>
    </row>
    <row r="32" spans="1:14" ht="23.4" customHeight="1" thickBot="1" x14ac:dyDescent="0.3">
      <c r="A32" s="27" t="s">
        <v>28</v>
      </c>
      <c r="B32" s="34">
        <f>789.09+99.26+0</f>
        <v>888.35</v>
      </c>
      <c r="C32" s="34">
        <f>789.09+99.26+0</f>
        <v>888.35</v>
      </c>
      <c r="D32" s="34">
        <f>789.09+99.26+0</f>
        <v>888.35</v>
      </c>
      <c r="E32" s="34">
        <f>789.09+99.26+0</f>
        <v>888.35</v>
      </c>
      <c r="F32" s="34">
        <f>554.7+69.77+0</f>
        <v>624.47</v>
      </c>
      <c r="G32" s="34">
        <f>554.7+69.77+0</f>
        <v>624.47</v>
      </c>
      <c r="H32" s="34">
        <f>818.4+105.65+0</f>
        <v>924.05</v>
      </c>
      <c r="I32" s="34">
        <f>818.4+105.65+0</f>
        <v>924.05</v>
      </c>
      <c r="J32" s="34">
        <f>816.07+105.35+1495.22+193.09</f>
        <v>2609.7300000000005</v>
      </c>
      <c r="K32" s="34">
        <f>818.4+105.65+0</f>
        <v>924.05</v>
      </c>
      <c r="L32" s="34">
        <f>841.27+105.65+0</f>
        <v>946.92</v>
      </c>
      <c r="M32" s="34">
        <f>841.27+105.65+0</f>
        <v>946.92</v>
      </c>
      <c r="N32" s="34">
        <f t="shared" si="17"/>
        <v>12078.060000000001</v>
      </c>
    </row>
    <row r="33" spans="1:14" ht="23.4" customHeight="1" thickBot="1" x14ac:dyDescent="0.3">
      <c r="A33" s="27" t="s">
        <v>29</v>
      </c>
      <c r="B33" s="34">
        <f>274.97+42.92</f>
        <v>317.89000000000004</v>
      </c>
      <c r="C33" s="34">
        <f>274.97</f>
        <v>274.97000000000003</v>
      </c>
      <c r="D33" s="34">
        <f>274.97+0</f>
        <v>274.97000000000003</v>
      </c>
      <c r="E33" s="34">
        <f>274.97+0</f>
        <v>274.97000000000003</v>
      </c>
      <c r="F33" s="34">
        <f>274.97+0</f>
        <v>274.97000000000003</v>
      </c>
      <c r="G33" s="34">
        <f>274.97+325.56</f>
        <v>600.53</v>
      </c>
      <c r="H33" s="34">
        <f>292.04+678.66</f>
        <v>970.7</v>
      </c>
      <c r="I33" s="34">
        <f>291.85+146.33</f>
        <v>438.18000000000006</v>
      </c>
      <c r="J33" s="34">
        <f>437.86+437.86</f>
        <v>875.72</v>
      </c>
      <c r="K33" s="34">
        <f>437.86+437.86</f>
        <v>875.72</v>
      </c>
      <c r="L33" s="34">
        <f>291.95+145.97</f>
        <v>437.91999999999996</v>
      </c>
      <c r="M33" s="34">
        <f>291.95+145.97</f>
        <v>437.91999999999996</v>
      </c>
      <c r="N33" s="34">
        <f t="shared" si="17"/>
        <v>6054.4600000000009</v>
      </c>
    </row>
    <row r="34" spans="1:14" ht="23.4" customHeight="1" thickBot="1" x14ac:dyDescent="0.3">
      <c r="A34" s="27" t="s">
        <v>30</v>
      </c>
      <c r="B34" s="34">
        <f>21567+6706</f>
        <v>28273</v>
      </c>
      <c r="C34" s="34">
        <f>4900+220.5</f>
        <v>5120.5</v>
      </c>
      <c r="D34" s="34">
        <f>19036.5+3804.5</f>
        <v>22841</v>
      </c>
      <c r="E34" s="34">
        <f>2100+290.5</f>
        <v>2390.5</v>
      </c>
      <c r="F34" s="34">
        <f>5400.5+1389.5</f>
        <v>6790</v>
      </c>
      <c r="G34" s="34">
        <f>5712+2716</f>
        <v>8428</v>
      </c>
      <c r="H34" s="34">
        <f>9519.98+462.42</f>
        <v>9982.4</v>
      </c>
      <c r="I34" s="34">
        <f>5901.36+1603.79</f>
        <v>7505.15</v>
      </c>
      <c r="J34" s="34">
        <f>14944.24+3119.5</f>
        <v>18063.739999999998</v>
      </c>
      <c r="K34" s="34">
        <f>5266.45+946.86</f>
        <v>6213.3099999999995</v>
      </c>
      <c r="L34" s="34">
        <f>10613.64+3849.83</f>
        <v>14463.47</v>
      </c>
      <c r="M34" s="34">
        <f>16283.79+2613.04</f>
        <v>18896.830000000002</v>
      </c>
      <c r="N34" s="34">
        <f t="shared" si="17"/>
        <v>148967.89999999997</v>
      </c>
    </row>
    <row r="35" spans="1:14" ht="23.4" customHeight="1" thickBot="1" x14ac:dyDescent="0.3">
      <c r="A35" s="27" t="s">
        <v>45</v>
      </c>
      <c r="B35" s="34">
        <f>589.8</f>
        <v>589.79999999999995</v>
      </c>
      <c r="C35" s="34">
        <f t="shared" ref="C35:G35" si="19">589.8</f>
        <v>589.79999999999995</v>
      </c>
      <c r="D35" s="34">
        <f t="shared" si="19"/>
        <v>589.79999999999995</v>
      </c>
      <c r="E35" s="34">
        <f t="shared" si="19"/>
        <v>589.79999999999995</v>
      </c>
      <c r="F35" s="34">
        <f t="shared" si="19"/>
        <v>589.79999999999995</v>
      </c>
      <c r="G35" s="34">
        <f t="shared" si="19"/>
        <v>589.79999999999995</v>
      </c>
      <c r="H35" s="34">
        <v>600.37</v>
      </c>
      <c r="I35" s="34">
        <f>600.37</f>
        <v>600.37</v>
      </c>
      <c r="J35" s="34">
        <v>600.37</v>
      </c>
      <c r="K35" s="34">
        <v>600.37</v>
      </c>
      <c r="L35" s="34">
        <v>600.37</v>
      </c>
      <c r="M35" s="34">
        <v>600.37</v>
      </c>
      <c r="N35" s="34">
        <f t="shared" si="17"/>
        <v>7141.0199999999995</v>
      </c>
    </row>
    <row r="36" spans="1:14" ht="23.4" customHeight="1" thickBot="1" x14ac:dyDescent="0.3">
      <c r="A36" s="27" t="s">
        <v>8</v>
      </c>
      <c r="B36" s="34">
        <f>4217.8*2.34</f>
        <v>9869.652</v>
      </c>
      <c r="C36" s="34">
        <f t="shared" ref="C36:G36" si="20">4217.8*2.34</f>
        <v>9869.652</v>
      </c>
      <c r="D36" s="34">
        <f t="shared" si="20"/>
        <v>9869.652</v>
      </c>
      <c r="E36" s="34">
        <f t="shared" si="20"/>
        <v>9869.652</v>
      </c>
      <c r="F36" s="34">
        <f t="shared" si="20"/>
        <v>9869.652</v>
      </c>
      <c r="G36" s="34">
        <f t="shared" si="20"/>
        <v>9869.652</v>
      </c>
      <c r="H36" s="34">
        <f>4216.1*2.69</f>
        <v>11341.309000000001</v>
      </c>
      <c r="I36" s="34">
        <f t="shared" ref="I36:M36" si="21">4216.1*2.69</f>
        <v>11341.309000000001</v>
      </c>
      <c r="J36" s="34">
        <f t="shared" si="21"/>
        <v>11341.309000000001</v>
      </c>
      <c r="K36" s="34">
        <f t="shared" si="21"/>
        <v>11341.309000000001</v>
      </c>
      <c r="L36" s="34">
        <f t="shared" si="21"/>
        <v>11341.309000000001</v>
      </c>
      <c r="M36" s="34">
        <f t="shared" si="21"/>
        <v>11341.309000000001</v>
      </c>
      <c r="N36" s="34">
        <f t="shared" si="17"/>
        <v>127265.76600000003</v>
      </c>
    </row>
    <row r="37" spans="1:14" ht="23.4" customHeight="1" thickBot="1" x14ac:dyDescent="0.3">
      <c r="A37" s="27" t="s">
        <v>44</v>
      </c>
      <c r="B37" s="34">
        <v>1980</v>
      </c>
      <c r="C37" s="34">
        <v>1980</v>
      </c>
      <c r="D37" s="34">
        <v>1980</v>
      </c>
      <c r="E37" s="34">
        <v>1980</v>
      </c>
      <c r="F37" s="34">
        <v>1980</v>
      </c>
      <c r="G37" s="34">
        <v>1980</v>
      </c>
      <c r="H37" s="34">
        <v>1980</v>
      </c>
      <c r="I37" s="34">
        <v>1980</v>
      </c>
      <c r="J37" s="34">
        <v>1980</v>
      </c>
      <c r="K37" s="34">
        <v>1980</v>
      </c>
      <c r="L37" s="34">
        <v>1980</v>
      </c>
      <c r="M37" s="34">
        <v>1980</v>
      </c>
      <c r="N37" s="34">
        <f t="shared" si="17"/>
        <v>23760</v>
      </c>
    </row>
    <row r="38" spans="1:14" ht="23.4" customHeight="1" thickBot="1" x14ac:dyDescent="0.3">
      <c r="A38" s="27" t="s">
        <v>41</v>
      </c>
      <c r="B38" s="34">
        <f>1315+4255</f>
        <v>5570</v>
      </c>
      <c r="C38" s="34">
        <f>1050+3165</f>
        <v>4215</v>
      </c>
      <c r="D38" s="34">
        <f>1580+3050</f>
        <v>4630</v>
      </c>
      <c r="E38" s="34">
        <f>1165+4395</f>
        <v>5560</v>
      </c>
      <c r="F38" s="34">
        <f>1185+3140</f>
        <v>4325</v>
      </c>
      <c r="G38" s="34">
        <v>4408</v>
      </c>
      <c r="H38" s="34">
        <f>1075+3580</f>
        <v>4655</v>
      </c>
      <c r="I38" s="34">
        <f>800+3820</f>
        <v>4620</v>
      </c>
      <c r="J38" s="34">
        <f>1190+4040</f>
        <v>5230</v>
      </c>
      <c r="K38" s="34">
        <f>1050+3350</f>
        <v>4400</v>
      </c>
      <c r="L38" s="34">
        <f>1300+4275</f>
        <v>5575</v>
      </c>
      <c r="M38" s="34">
        <f>950+3240</f>
        <v>4190</v>
      </c>
      <c r="N38" s="34">
        <f t="shared" si="17"/>
        <v>57378</v>
      </c>
    </row>
    <row r="39" spans="1:14" ht="23.4" customHeight="1" thickBot="1" x14ac:dyDescent="0.3">
      <c r="A39" s="27" t="s">
        <v>12</v>
      </c>
      <c r="B39" s="34">
        <f>37388.53</f>
        <v>37388.53</v>
      </c>
      <c r="C39" s="34">
        <f>1507.2+1404.6+531</f>
        <v>3442.8</v>
      </c>
      <c r="D39" s="34">
        <f>2037.4+1919.1+601</f>
        <v>4557.5</v>
      </c>
      <c r="E39" s="34">
        <f>79880+62829.06+2069.6+7601.8+4269.3+11000</f>
        <v>167649.75999999998</v>
      </c>
      <c r="F39" s="34">
        <f>1366.9+4377.2+25525.39+32156.19</f>
        <v>63425.679999999993</v>
      </c>
      <c r="G39" s="34">
        <f>400+1587.3</f>
        <v>1987.3</v>
      </c>
      <c r="H39" s="34">
        <f>190</f>
        <v>190</v>
      </c>
      <c r="I39" s="34">
        <f>668+13966.4</f>
        <v>14634.4</v>
      </c>
      <c r="J39" s="34">
        <f>29648.92</f>
        <v>29648.92</v>
      </c>
      <c r="K39" s="34">
        <f>340+510+4031.1+920.9+18900</f>
        <v>24702</v>
      </c>
      <c r="L39" s="34">
        <v>0</v>
      </c>
      <c r="M39" s="34">
        <f>1527.8+1362.7</f>
        <v>2890.5</v>
      </c>
      <c r="N39" s="34">
        <f t="shared" si="17"/>
        <v>350517.38999999996</v>
      </c>
    </row>
    <row r="40" spans="1:14" ht="24" customHeight="1" thickBot="1" x14ac:dyDescent="0.3">
      <c r="A40" s="32" t="s">
        <v>32</v>
      </c>
      <c r="B40" s="33">
        <f t="shared" ref="B40:M40" si="22">SUM(B27:B39)</f>
        <v>123498.93055999999</v>
      </c>
      <c r="C40" s="33">
        <f t="shared" si="22"/>
        <v>64722.214900000006</v>
      </c>
      <c r="D40" s="33">
        <f t="shared" si="22"/>
        <v>84220.733930000002</v>
      </c>
      <c r="E40" s="33">
        <f t="shared" si="22"/>
        <v>227483.30228999999</v>
      </c>
      <c r="F40" s="33">
        <f t="shared" si="22"/>
        <v>125846.77759000001</v>
      </c>
      <c r="G40" s="33">
        <f t="shared" si="22"/>
        <v>66455.204689999999</v>
      </c>
      <c r="H40" s="33">
        <f t="shared" si="22"/>
        <v>73563.58054000001</v>
      </c>
      <c r="I40" s="33">
        <f t="shared" si="22"/>
        <v>85256.050170000002</v>
      </c>
      <c r="J40" s="33">
        <f t="shared" si="22"/>
        <v>115869.97097000001</v>
      </c>
      <c r="K40" s="33">
        <f t="shared" si="22"/>
        <v>94009.692720000021</v>
      </c>
      <c r="L40" s="33">
        <f t="shared" si="22"/>
        <v>78775.163310000004</v>
      </c>
      <c r="M40" s="33">
        <f t="shared" si="22"/>
        <v>84433.029980000007</v>
      </c>
      <c r="N40" s="33">
        <f>SUM(B40:M40)</f>
        <v>1224134.6516500001</v>
      </c>
    </row>
    <row r="41" spans="1:14" ht="24" customHeight="1" thickBot="1" x14ac:dyDescent="0.3">
      <c r="A41" s="27" t="s">
        <v>7</v>
      </c>
      <c r="B41" s="41">
        <f t="shared" ref="B41:N41" si="23">B17-B40</f>
        <v>-36728.970560000002</v>
      </c>
      <c r="C41" s="41">
        <f t="shared" si="23"/>
        <v>-1236.7549000000145</v>
      </c>
      <c r="D41" s="41">
        <f t="shared" si="23"/>
        <v>5487.7860699999874</v>
      </c>
      <c r="E41" s="41">
        <f t="shared" si="23"/>
        <v>-160357.23228999999</v>
      </c>
      <c r="F41" s="41">
        <f t="shared" si="23"/>
        <v>-55057.807590000011</v>
      </c>
      <c r="G41" s="41">
        <f t="shared" si="23"/>
        <v>-5893.904690000003</v>
      </c>
      <c r="H41" s="41">
        <f t="shared" si="23"/>
        <v>4198.6394599999912</v>
      </c>
      <c r="I41" s="41">
        <f t="shared" si="23"/>
        <v>-6699.9201699999976</v>
      </c>
      <c r="J41" s="41">
        <f t="shared" si="23"/>
        <v>70722.099029999998</v>
      </c>
      <c r="K41" s="41">
        <f t="shared" si="23"/>
        <v>-21006.322720000026</v>
      </c>
      <c r="L41" s="41">
        <f t="shared" si="23"/>
        <v>10106.756690000009</v>
      </c>
      <c r="M41" s="41">
        <f t="shared" si="23"/>
        <v>-9076.9299800000153</v>
      </c>
      <c r="N41" s="34">
        <f t="shared" si="23"/>
        <v>-205542.56165000016</v>
      </c>
    </row>
    <row r="42" spans="1:14" ht="21.6" customHeight="1" thickBot="1" x14ac:dyDescent="0.3">
      <c r="A42" s="27" t="s">
        <v>9</v>
      </c>
      <c r="B42" s="37">
        <f t="shared" ref="B42:N42" si="24">B6+B41</f>
        <v>-634792.38056000008</v>
      </c>
      <c r="C42" s="37">
        <f t="shared" si="24"/>
        <v>-636029.13546000014</v>
      </c>
      <c r="D42" s="37">
        <f t="shared" si="24"/>
        <v>-630541.3493900001</v>
      </c>
      <c r="E42" s="37">
        <f t="shared" si="24"/>
        <v>-790898.58168000006</v>
      </c>
      <c r="F42" s="37">
        <f t="shared" si="24"/>
        <v>-845956.38927000004</v>
      </c>
      <c r="G42" s="37">
        <f t="shared" si="24"/>
        <v>-851850.29396000004</v>
      </c>
      <c r="H42" s="37">
        <f t="shared" si="24"/>
        <v>-847651.65450000006</v>
      </c>
      <c r="I42" s="37">
        <f t="shared" si="24"/>
        <v>-854351.57467</v>
      </c>
      <c r="J42" s="37">
        <f t="shared" si="24"/>
        <v>-783629.47563999996</v>
      </c>
      <c r="K42" s="37">
        <f t="shared" si="24"/>
        <v>-804635.79836000002</v>
      </c>
      <c r="L42" s="37">
        <f t="shared" si="24"/>
        <v>-794529.04166999995</v>
      </c>
      <c r="M42" s="37">
        <f t="shared" si="24"/>
        <v>-803605.97164999996</v>
      </c>
      <c r="N42" s="37">
        <f t="shared" si="24"/>
        <v>-803605.9716500002</v>
      </c>
    </row>
    <row r="43" spans="1:14" ht="24" customHeight="1" thickBot="1" x14ac:dyDescent="0.3">
      <c r="A43" s="38" t="s">
        <v>13</v>
      </c>
      <c r="B43" s="42">
        <f t="shared" ref="B43:N43" si="25">B7+B17-B8</f>
        <v>-947685.19000000006</v>
      </c>
      <c r="C43" s="42">
        <f t="shared" si="25"/>
        <v>-989907.85000000009</v>
      </c>
      <c r="D43" s="42">
        <f t="shared" si="25"/>
        <v>-982711.69000000006</v>
      </c>
      <c r="E43" s="42">
        <f t="shared" si="25"/>
        <v>-1015818.5300000001</v>
      </c>
      <c r="F43" s="42">
        <f t="shared" si="25"/>
        <v>-1024813.3700000002</v>
      </c>
      <c r="G43" s="42">
        <f t="shared" si="25"/>
        <v>-1057977.5700000003</v>
      </c>
      <c r="H43" s="42">
        <f t="shared" si="25"/>
        <v>-1066828.0800000003</v>
      </c>
      <c r="I43" s="42">
        <f t="shared" si="25"/>
        <v>-1086001.3100000003</v>
      </c>
      <c r="J43" s="42">
        <f t="shared" si="25"/>
        <v>-994129.70000000019</v>
      </c>
      <c r="K43" s="42">
        <f t="shared" si="25"/>
        <v>-1015793.0200000003</v>
      </c>
      <c r="L43" s="42">
        <f t="shared" si="25"/>
        <v>-1020777.5300000003</v>
      </c>
      <c r="M43" s="42">
        <f t="shared" si="25"/>
        <v>-1047120.8700000003</v>
      </c>
      <c r="N43" s="42">
        <f t="shared" si="25"/>
        <v>-1047120.8700000003</v>
      </c>
    </row>
    <row r="44" spans="1:14" ht="17.25" customHeight="1" thickBot="1" x14ac:dyDescent="0.3">
      <c r="A44" s="48" t="s">
        <v>59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50"/>
      <c r="N44" s="43">
        <v>37750.199999999997</v>
      </c>
    </row>
    <row r="45" spans="1:14" ht="19.5" customHeight="1" thickBot="1" x14ac:dyDescent="0.3">
      <c r="A45" s="48" t="s">
        <v>13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50"/>
      <c r="N45" s="43">
        <f>N43+N44</f>
        <v>-1009370.6700000004</v>
      </c>
    </row>
  </sheetData>
  <mergeCells count="4">
    <mergeCell ref="A1:N1"/>
    <mergeCell ref="A2:N2"/>
    <mergeCell ref="A44:M44"/>
    <mergeCell ref="A45:M45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21</vt:lpstr>
      <vt:lpstr>21а</vt:lpstr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2022-03-15T08:01:30Z</cp:lastPrinted>
  <dcterms:created xsi:type="dcterms:W3CDTF">2011-06-06T03:25:48Z</dcterms:created>
  <dcterms:modified xsi:type="dcterms:W3CDTF">2022-03-15T08:08:06Z</dcterms:modified>
</cp:coreProperties>
</file>