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1" sheetId="1" r:id="rId1"/>
  </sheets>
  <calcPr calcId="144525" refMode="R1C1"/>
</workbook>
</file>

<file path=xl/calcChain.xml><?xml version="1.0" encoding="utf-8"?>
<calcChain xmlns="http://schemas.openxmlformats.org/spreadsheetml/2006/main">
  <c r="N23" i="1" l="1"/>
  <c r="N24" i="1"/>
  <c r="N25" i="1"/>
  <c r="N26" i="1"/>
  <c r="N27" i="1"/>
  <c r="N28" i="1"/>
  <c r="N29" i="1"/>
  <c r="N30" i="1"/>
  <c r="N31" i="1"/>
  <c r="N32" i="1"/>
  <c r="N33" i="1"/>
  <c r="N34" i="1"/>
  <c r="N22" i="1"/>
  <c r="L34" i="1" l="1"/>
  <c r="M32" i="1" l="1"/>
  <c r="L32" i="1" l="1"/>
  <c r="K32" i="1" l="1"/>
  <c r="L27" i="1" l="1"/>
  <c r="K27" i="1"/>
  <c r="M25" i="1" l="1"/>
  <c r="M15" i="1"/>
  <c r="M24" i="1"/>
  <c r="M8" i="1"/>
  <c r="L25" i="1" l="1"/>
  <c r="L15" i="1"/>
  <c r="L24" i="1"/>
  <c r="L8" i="1"/>
  <c r="K25" i="1" l="1"/>
  <c r="K15" i="1"/>
  <c r="K24" i="1"/>
  <c r="K8" i="1"/>
  <c r="L31" i="1" l="1"/>
  <c r="M31" i="1"/>
  <c r="K31" i="1"/>
  <c r="L26" i="1"/>
  <c r="M26" i="1"/>
  <c r="K26" i="1"/>
  <c r="K23" i="1"/>
  <c r="L23" i="1"/>
  <c r="M23" i="1"/>
  <c r="K22" i="1"/>
  <c r="L22" i="1"/>
  <c r="M22" i="1"/>
  <c r="C31" i="1" l="1"/>
  <c r="D31" i="1"/>
  <c r="E31" i="1"/>
  <c r="F31" i="1"/>
  <c r="G31" i="1"/>
  <c r="H31" i="1"/>
  <c r="I31" i="1"/>
  <c r="J31" i="1"/>
  <c r="B31" i="1"/>
  <c r="I34" i="1" l="1"/>
  <c r="J32" i="1" l="1"/>
  <c r="I32" i="1" l="1"/>
  <c r="H32" i="1" l="1"/>
  <c r="J25" i="1" l="1"/>
  <c r="J15" i="1"/>
  <c r="J24" i="1"/>
  <c r="J8" i="1"/>
  <c r="H34" i="1" l="1"/>
  <c r="I25" i="1" l="1"/>
  <c r="I15" i="1"/>
  <c r="I24" i="1"/>
  <c r="I8" i="1"/>
  <c r="H25" i="1" l="1"/>
  <c r="H15" i="1"/>
  <c r="H24" i="1"/>
  <c r="H8" i="1"/>
  <c r="H23" i="1" l="1"/>
  <c r="I23" i="1"/>
  <c r="J23" i="1"/>
  <c r="H22" i="1"/>
  <c r="I22" i="1"/>
  <c r="J22" i="1"/>
  <c r="G34" i="1" l="1"/>
  <c r="F27" i="1" l="1"/>
  <c r="E27" i="1"/>
  <c r="G25" i="1" l="1"/>
  <c r="G15" i="1"/>
  <c r="G24" i="1"/>
  <c r="G8" i="1"/>
  <c r="F25" i="1" l="1"/>
  <c r="F15" i="1"/>
  <c r="F24" i="1"/>
  <c r="F8" i="1"/>
  <c r="E25" i="1" l="1"/>
  <c r="E15" i="1"/>
  <c r="E24" i="1"/>
  <c r="E8" i="1"/>
  <c r="E34" i="1" l="1"/>
  <c r="D34" i="1" l="1"/>
  <c r="E23" i="1"/>
  <c r="F23" i="1"/>
  <c r="G23" i="1"/>
  <c r="E22" i="1"/>
  <c r="F22" i="1"/>
  <c r="G22" i="1"/>
  <c r="C34" i="1" l="1"/>
  <c r="C27" i="1" l="1"/>
  <c r="D25" i="1" l="1"/>
  <c r="D15" i="1"/>
  <c r="D24" i="1"/>
  <c r="D8" i="1"/>
  <c r="C25" i="1" l="1"/>
  <c r="C15" i="1"/>
  <c r="C24" i="1"/>
  <c r="C8" i="1"/>
  <c r="B25" i="1" l="1"/>
  <c r="B15" i="1"/>
  <c r="B24" i="1"/>
  <c r="B8" i="1"/>
  <c r="N20" i="1" l="1"/>
  <c r="N13" i="1"/>
  <c r="D14" i="1" l="1"/>
  <c r="D7" i="1"/>
  <c r="C14" i="1" l="1"/>
  <c r="C7" i="1"/>
  <c r="B14" i="1"/>
  <c r="B7" i="1"/>
  <c r="C23" i="1" l="1"/>
  <c r="D23" i="1"/>
  <c r="C22" i="1"/>
  <c r="D22" i="1"/>
  <c r="B23" i="1"/>
  <c r="B22" i="1"/>
  <c r="D35" i="1" l="1"/>
  <c r="D36" i="1" s="1"/>
  <c r="N11" i="1" l="1"/>
  <c r="N16" i="1" l="1"/>
  <c r="N18" i="1"/>
  <c r="N17" i="1"/>
  <c r="N19" i="1"/>
  <c r="N9" i="1" l="1"/>
  <c r="N10" i="1"/>
  <c r="N12" i="1" l="1"/>
  <c r="H14" i="1" l="1"/>
  <c r="I14" i="1"/>
  <c r="J14" i="1"/>
  <c r="K14" i="1"/>
  <c r="L14" i="1"/>
  <c r="M14" i="1"/>
  <c r="H7" i="1"/>
  <c r="I7" i="1"/>
  <c r="J7" i="1"/>
  <c r="K7" i="1"/>
  <c r="L7" i="1"/>
  <c r="M7" i="1"/>
  <c r="E14" i="1"/>
  <c r="F14" i="1"/>
  <c r="G14" i="1"/>
  <c r="E7" i="1"/>
  <c r="F7" i="1"/>
  <c r="G7" i="1"/>
  <c r="N14" i="1" l="1"/>
  <c r="N7" i="1"/>
  <c r="M35" i="1"/>
  <c r="M36" i="1" s="1"/>
  <c r="J35" i="1"/>
  <c r="I35" i="1"/>
  <c r="I36" i="1" s="1"/>
  <c r="G35" i="1"/>
  <c r="G36" i="1" s="1"/>
  <c r="F35" i="1"/>
  <c r="F36" i="1" s="1"/>
  <c r="E35" i="1"/>
  <c r="E36" i="1" s="1"/>
  <c r="L35" i="1"/>
  <c r="K35" i="1"/>
  <c r="H35" i="1"/>
  <c r="H36" i="1" s="1"/>
  <c r="L36" i="1" l="1"/>
  <c r="N35" i="1"/>
  <c r="K36" i="1"/>
  <c r="J36" i="1"/>
  <c r="N15" i="1"/>
  <c r="N8" i="1" l="1"/>
  <c r="N6" i="1"/>
  <c r="N5" i="1"/>
  <c r="N38" i="1" l="1"/>
  <c r="C35" i="1"/>
  <c r="C36" i="1" s="1"/>
  <c r="B38" i="1"/>
  <c r="C6" i="1" s="1"/>
  <c r="C38" i="1" l="1"/>
  <c r="D6" i="1" s="1"/>
  <c r="B35" i="1"/>
  <c r="D38" i="1" l="1"/>
  <c r="E6" i="1" s="1"/>
  <c r="E38" i="1" s="1"/>
  <c r="F6" i="1" s="1"/>
  <c r="F38" i="1" s="1"/>
  <c r="G6" i="1" s="1"/>
  <c r="G38" i="1" s="1"/>
  <c r="H6" i="1" s="1"/>
  <c r="H38" i="1" s="1"/>
  <c r="I6" i="1" s="1"/>
  <c r="I38" i="1" s="1"/>
  <c r="J6" i="1" s="1"/>
  <c r="J38" i="1" s="1"/>
  <c r="K6" i="1" s="1"/>
  <c r="K38" i="1" s="1"/>
  <c r="L6" i="1" s="1"/>
  <c r="L38" i="1" s="1"/>
  <c r="M6" i="1" s="1"/>
  <c r="M38" i="1" s="1"/>
  <c r="B36" i="1"/>
  <c r="B37" i="1" s="1"/>
  <c r="C5" i="1" l="1"/>
  <c r="C37" i="1" s="1"/>
  <c r="D5" i="1" s="1"/>
  <c r="D37" i="1" s="1"/>
  <c r="N36" i="1" l="1"/>
  <c r="N37" i="1" s="1"/>
  <c r="E5" i="1" l="1"/>
  <c r="E37" i="1" s="1"/>
  <c r="F5" i="1" s="1"/>
  <c r="F37" i="1" l="1"/>
  <c r="G5" i="1" s="1"/>
  <c r="G37" i="1" s="1"/>
  <c r="H5" i="1" s="1"/>
  <c r="H37" i="1" s="1"/>
  <c r="I5" i="1" s="1"/>
  <c r="I37" i="1" s="1"/>
  <c r="J5" i="1" s="1"/>
  <c r="J37" i="1" l="1"/>
  <c r="K5" i="1" s="1"/>
  <c r="K37" i="1" l="1"/>
  <c r="L5" i="1" s="1"/>
  <c r="L37" i="1" l="1"/>
  <c r="M5" i="1" s="1"/>
  <c r="M37" i="1" s="1"/>
</calcChain>
</file>

<file path=xl/sharedStrings.xml><?xml version="1.0" encoding="utf-8"?>
<sst xmlns="http://schemas.openxmlformats.org/spreadsheetml/2006/main" count="49" uniqueCount="42">
  <si>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</si>
  <si>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</si>
  <si>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</si>
  <si>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</si>
  <si>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</si>
  <si>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</si>
  <si>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</si>
  <si>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</si>
  <si>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</si>
  <si>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</si>
  <si>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</si>
  <si>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</si>
  <si>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</si>
  <si>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</si>
  <si>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</si>
  <si>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</si>
  <si>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</si>
  <si>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</si>
  <si>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</si>
  <si>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</si>
  <si>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</si>
  <si>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</si>
  <si>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</si>
  <si>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Отведение сточных вод ОИ</t>
  </si>
  <si>
    <t>Тех.обслуживание газового оборудования</t>
  </si>
  <si>
    <t>Тех.обслуживание узла учета тепловой энергии</t>
  </si>
  <si>
    <t>Дополнительный доход (использование общего имущества)</t>
  </si>
  <si>
    <t>Содержание жилья и текущий ремонт, ОПУ</t>
  </si>
  <si>
    <t>Январь 2021г.</t>
  </si>
  <si>
    <t>Февраль  2021г.</t>
  </si>
  <si>
    <t>Март  2021г.</t>
  </si>
  <si>
    <t>Апрель 2021г.</t>
  </si>
  <si>
    <t>Май 2021г.</t>
  </si>
  <si>
    <t>Июнь 2021г.</t>
  </si>
  <si>
    <t>Июль 2021г</t>
  </si>
  <si>
    <t>Август 2021г</t>
  </si>
  <si>
    <t>Сентябрь 2021г</t>
  </si>
  <si>
    <t>Октябрь 2021г</t>
  </si>
  <si>
    <t xml:space="preserve">Ноябрь 2021г </t>
  </si>
  <si>
    <t>Декабрь 2021г</t>
  </si>
  <si>
    <t>Всего:                       за  2021г.</t>
  </si>
  <si>
    <t xml:space="preserve">                 ОТЧЕТ по дому Горно-Алтайская, 58  за период 01.01.2021г. по 31.12.2021г.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</si>
</sst>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3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4" fontId="5" fillId="0" borderId="2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tabSelected="1" topLeftCell="B18" zoomScale="75" workbookViewId="0">
      <selection activeCell="O32" sqref="O32"/>
    </sheetView>
  </sheetViews>
  <sheetFormatPr defaultRowHeight="13.2" x14ac:dyDescent="0.25"/>
  <cols>
    <col min="1" max="1" width="58.6640625" customWidth="1"/>
    <col min="2" max="2" width="13.6640625" customWidth="1"/>
    <col min="3" max="4" width="13.44140625" customWidth="1"/>
    <col min="5" max="5" width="14.21875" customWidth="1"/>
    <col min="6" max="6" width="14.44140625" customWidth="1"/>
    <col min="7" max="7" width="14.5546875" customWidth="1"/>
    <col min="8" max="8" width="14.44140625" customWidth="1"/>
    <col min="9" max="9" width="14.109375" customWidth="1"/>
    <col min="10" max="10" width="14.21875" customWidth="1"/>
    <col min="11" max="11" width="14.5546875" customWidth="1"/>
    <col min="12" max="12" width="14.33203125" customWidth="1"/>
    <col min="13" max="13" width="14.109375" customWidth="1"/>
    <col min="14" max="14" width="13.6640625" customWidth="1"/>
  </cols>
  <sheetData>
    <row r="1" spans="1:18" ht="20.25" customHeight="1" x14ac:dyDescent="0.35">
      <c r="A1" s="5" t="s">
        <v>41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7" t="s">
        <v>0</v>
      </c>
      <c r="B4" s="8" t="s">
        <v>28</v>
      </c>
      <c r="C4" s="8" t="s">
        <v>29</v>
      </c>
      <c r="D4" s="8" t="s">
        <v>30</v>
      </c>
      <c r="E4" s="8" t="s">
        <v>31</v>
      </c>
      <c r="F4" s="8" t="s">
        <v>32</v>
      </c>
      <c r="G4" s="8" t="s">
        <v>33</v>
      </c>
      <c r="H4" s="8" t="s">
        <v>34</v>
      </c>
      <c r="I4" s="8" t="s">
        <v>35</v>
      </c>
      <c r="J4" s="8" t="s">
        <v>36</v>
      </c>
      <c r="K4" s="8" t="s">
        <v>37</v>
      </c>
      <c r="L4" s="8" t="s">
        <v>38</v>
      </c>
      <c r="M4" s="8" t="s">
        <v>39</v>
      </c>
      <c r="N4" s="8" t="s">
        <v>40</v>
      </c>
    </row>
    <row r="5" spans="1:18" ht="23.25" customHeight="1" thickBot="1" x14ac:dyDescent="0.3">
      <c r="A5" s="9" t="s">
        <v>14</v>
      </c>
      <c r="B5" s="10">
        <v>16817.59</v>
      </c>
      <c r="C5" s="10">
        <f>B37</f>
        <v>15473.655379999998</v>
      </c>
      <c r="D5" s="10">
        <f>C37</f>
        <v>-121020.77942999998</v>
      </c>
      <c r="E5" s="10">
        <f t="shared" ref="E5:G5" si="0">D37</f>
        <v>-126037.50947999998</v>
      </c>
      <c r="F5" s="10">
        <f t="shared" si="0"/>
        <v>-149159.58098999999</v>
      </c>
      <c r="G5" s="10">
        <f t="shared" si="0"/>
        <v>-156183.10966999998</v>
      </c>
      <c r="H5" s="10">
        <f t="shared" ref="H5:H6" si="1">G37</f>
        <v>-172114.07130999997</v>
      </c>
      <c r="I5" s="10">
        <f t="shared" ref="I5:I6" si="2">H37</f>
        <v>-331442.00912999996</v>
      </c>
      <c r="J5" s="10">
        <f t="shared" ref="J5:J6" si="3">I37</f>
        <v>-365661.68390999996</v>
      </c>
      <c r="K5" s="10">
        <f t="shared" ref="K5:K6" si="4">J37</f>
        <v>-347876.85787999997</v>
      </c>
      <c r="L5" s="10">
        <f t="shared" ref="L5:L6" si="5">K37</f>
        <v>-359479.34828999999</v>
      </c>
      <c r="M5" s="10">
        <f t="shared" ref="M5:M6" si="6">L37</f>
        <v>-363038.6103</v>
      </c>
      <c r="N5" s="10">
        <f>B5</f>
        <v>16817.59</v>
      </c>
    </row>
    <row r="6" spans="1:18" ht="21" customHeight="1" thickBot="1" x14ac:dyDescent="0.3">
      <c r="A6" s="9" t="s">
        <v>13</v>
      </c>
      <c r="B6" s="10">
        <v>-54167.44</v>
      </c>
      <c r="C6" s="10">
        <f>B38</f>
        <v>-59424.01</v>
      </c>
      <c r="D6" s="10">
        <f>C38</f>
        <v>-53186.2</v>
      </c>
      <c r="E6" s="10">
        <f t="shared" ref="E6:G6" si="7">D38</f>
        <v>-57827.069999999992</v>
      </c>
      <c r="F6" s="10">
        <f t="shared" si="7"/>
        <v>-59254.369999999995</v>
      </c>
      <c r="G6" s="10">
        <f t="shared" si="7"/>
        <v>-79995.459999999992</v>
      </c>
      <c r="H6" s="10">
        <f t="shared" si="1"/>
        <v>-86268.209999999992</v>
      </c>
      <c r="I6" s="10">
        <f t="shared" si="2"/>
        <v>-90480.779999999984</v>
      </c>
      <c r="J6" s="10">
        <f t="shared" si="3"/>
        <v>-82395.279999999984</v>
      </c>
      <c r="K6" s="10">
        <f t="shared" si="4"/>
        <v>-66326.50999999998</v>
      </c>
      <c r="L6" s="10">
        <f t="shared" si="5"/>
        <v>-75947.219999999972</v>
      </c>
      <c r="M6" s="10">
        <f t="shared" si="6"/>
        <v>-85987.50999999998</v>
      </c>
      <c r="N6" s="10">
        <f>B6</f>
        <v>-54167.44</v>
      </c>
    </row>
    <row r="7" spans="1:18" ht="20.25" customHeight="1" thickBot="1" x14ac:dyDescent="0.3">
      <c r="A7" s="11" t="s">
        <v>12</v>
      </c>
      <c r="B7" s="12">
        <f>SUM(B8:B13)</f>
        <v>18308.239999999998</v>
      </c>
      <c r="C7" s="12">
        <f t="shared" ref="C7:D7" si="8">SUM(C8:C13)</f>
        <v>17980.669999999998</v>
      </c>
      <c r="D7" s="12">
        <f t="shared" si="8"/>
        <v>18414.55</v>
      </c>
      <c r="E7" s="12">
        <f t="shared" ref="E7:G7" si="9">SUM(E8:E12)</f>
        <v>17780.669999999998</v>
      </c>
      <c r="F7" s="12">
        <f t="shared" si="9"/>
        <v>36284.46</v>
      </c>
      <c r="G7" s="12">
        <f t="shared" si="9"/>
        <v>20913.379999999997</v>
      </c>
      <c r="H7" s="12">
        <f t="shared" ref="H7" si="10">SUM(H8:H12)</f>
        <v>17782.64</v>
      </c>
      <c r="I7" s="12">
        <f t="shared" ref="I7" si="11">SUM(I8:I12)</f>
        <v>17787.259999999998</v>
      </c>
      <c r="J7" s="12">
        <f t="shared" ref="J7" si="12">SUM(J8:J12)</f>
        <v>19528.789999999997</v>
      </c>
      <c r="K7" s="12">
        <f t="shared" ref="K7" si="13">SUM(K8:K12)</f>
        <v>24481.07</v>
      </c>
      <c r="L7" s="12">
        <f t="shared" ref="L7" si="14">SUM(L8:L12)</f>
        <v>31724.07</v>
      </c>
      <c r="M7" s="12">
        <f t="shared" ref="M7" si="15">SUM(M8:M12)</f>
        <v>26939.289999999997</v>
      </c>
      <c r="N7" s="12">
        <f>SUM(B7:M7)</f>
        <v>267925.09000000003</v>
      </c>
    </row>
    <row r="8" spans="1:18" ht="24.75" customHeight="1" thickBot="1" x14ac:dyDescent="0.3">
      <c r="A8" s="3" t="s">
        <v>27</v>
      </c>
      <c r="B8" s="13">
        <f t="shared" ref="B8:G8" si="16">16998.82+598.55</f>
        <v>17597.37</v>
      </c>
      <c r="C8" s="13">
        <f t="shared" si="16"/>
        <v>17597.37</v>
      </c>
      <c r="D8" s="13">
        <f t="shared" si="16"/>
        <v>17597.37</v>
      </c>
      <c r="E8" s="13">
        <f t="shared" si="16"/>
        <v>17597.37</v>
      </c>
      <c r="F8" s="13">
        <f t="shared" si="16"/>
        <v>17597.37</v>
      </c>
      <c r="G8" s="13">
        <f t="shared" si="16"/>
        <v>17597.37</v>
      </c>
      <c r="H8" s="13">
        <f>16998.82+598.55</f>
        <v>17597.37</v>
      </c>
      <c r="I8" s="13">
        <f>16998.82+598.55</f>
        <v>17597.37</v>
      </c>
      <c r="J8" s="13">
        <f>16998.82+598.55</f>
        <v>17597.37</v>
      </c>
      <c r="K8" s="13">
        <f>20997.12+598.55</f>
        <v>21595.67</v>
      </c>
      <c r="L8" s="13">
        <f>20997.12+598.55</f>
        <v>21595.67</v>
      </c>
      <c r="M8" s="13">
        <f>20997.12+598.55</f>
        <v>21595.67</v>
      </c>
      <c r="N8" s="13">
        <f>SUM(B8:M8)</f>
        <v>223163.33999999997</v>
      </c>
    </row>
    <row r="9" spans="1:18" ht="24.75" customHeight="1" thickBot="1" x14ac:dyDescent="0.3">
      <c r="A9" s="3" t="s">
        <v>15</v>
      </c>
      <c r="B9" s="13">
        <v>327.57</v>
      </c>
      <c r="C9" s="13">
        <v>0</v>
      </c>
      <c r="D9" s="13">
        <v>433.88</v>
      </c>
      <c r="E9" s="13">
        <v>0</v>
      </c>
      <c r="F9" s="13">
        <v>18503.79</v>
      </c>
      <c r="G9" s="13">
        <v>3132.71</v>
      </c>
      <c r="H9" s="13">
        <v>0</v>
      </c>
      <c r="I9" s="13">
        <v>0</v>
      </c>
      <c r="J9" s="13">
        <v>0</v>
      </c>
      <c r="K9" s="13">
        <v>0</v>
      </c>
      <c r="L9" s="13">
        <v>9938.51</v>
      </c>
      <c r="M9" s="13">
        <v>3394.22</v>
      </c>
      <c r="N9" s="13">
        <f t="shared" ref="N9:N13" si="17">SUM(B9:M9)</f>
        <v>35730.68</v>
      </c>
    </row>
    <row r="10" spans="1:18" ht="21.75" customHeight="1" thickBot="1" x14ac:dyDescent="0.3">
      <c r="A10" s="3" t="s">
        <v>16</v>
      </c>
      <c r="B10" s="13">
        <v>75.45</v>
      </c>
      <c r="C10" s="13">
        <v>75.45</v>
      </c>
      <c r="D10" s="13">
        <v>75.45</v>
      </c>
      <c r="E10" s="13">
        <v>75.45</v>
      </c>
      <c r="F10" s="13">
        <v>75.45</v>
      </c>
      <c r="G10" s="13">
        <v>75.45</v>
      </c>
      <c r="H10" s="13">
        <v>75.45</v>
      </c>
      <c r="I10" s="13">
        <v>80.069999999999993</v>
      </c>
      <c r="J10" s="13">
        <v>80.069999999999993</v>
      </c>
      <c r="K10" s="13">
        <v>80.069999999999993</v>
      </c>
      <c r="L10" s="13">
        <v>80.069999999999993</v>
      </c>
      <c r="M10" s="13">
        <v>80.069999999999993</v>
      </c>
      <c r="N10" s="13">
        <f t="shared" si="17"/>
        <v>928.49999999999977</v>
      </c>
    </row>
    <row r="11" spans="1:18" ht="22.5" customHeight="1" thickBot="1" x14ac:dyDescent="0.3">
      <c r="A11" s="3" t="s">
        <v>17</v>
      </c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1741.53</v>
      </c>
      <c r="K11" s="13">
        <v>2695.51</v>
      </c>
      <c r="L11" s="13">
        <v>0</v>
      </c>
      <c r="M11" s="13">
        <v>1759.51</v>
      </c>
      <c r="N11" s="13">
        <f t="shared" si="17"/>
        <v>6196.55</v>
      </c>
    </row>
    <row r="12" spans="1:18" ht="22.5" customHeight="1" thickBot="1" x14ac:dyDescent="0.3">
      <c r="A12" s="3" t="s">
        <v>23</v>
      </c>
      <c r="B12" s="13">
        <v>107.85</v>
      </c>
      <c r="C12" s="13">
        <v>107.85</v>
      </c>
      <c r="D12" s="13">
        <v>107.85</v>
      </c>
      <c r="E12" s="13">
        <v>107.85</v>
      </c>
      <c r="F12" s="13">
        <v>107.85</v>
      </c>
      <c r="G12" s="13">
        <v>107.85</v>
      </c>
      <c r="H12" s="13">
        <v>109.82</v>
      </c>
      <c r="I12" s="13">
        <v>109.82</v>
      </c>
      <c r="J12" s="13">
        <v>109.82</v>
      </c>
      <c r="K12" s="13">
        <v>109.82</v>
      </c>
      <c r="L12" s="13">
        <v>109.82</v>
      </c>
      <c r="M12" s="13">
        <v>109.82</v>
      </c>
      <c r="N12" s="13">
        <f t="shared" si="17"/>
        <v>1306.0199999999998</v>
      </c>
    </row>
    <row r="13" spans="1:18" ht="22.5" customHeight="1" thickBot="1" x14ac:dyDescent="0.3">
      <c r="A13" s="3" t="s">
        <v>26</v>
      </c>
      <c r="B13" s="13">
        <v>200</v>
      </c>
      <c r="C13" s="13">
        <v>200</v>
      </c>
      <c r="D13" s="13">
        <v>200</v>
      </c>
      <c r="E13" s="13">
        <v>200</v>
      </c>
      <c r="F13" s="13">
        <v>200</v>
      </c>
      <c r="G13" s="13">
        <v>200</v>
      </c>
      <c r="H13" s="13">
        <v>200</v>
      </c>
      <c r="I13" s="13">
        <v>200</v>
      </c>
      <c r="J13" s="13">
        <v>200</v>
      </c>
      <c r="K13" s="13">
        <v>200</v>
      </c>
      <c r="L13" s="13">
        <v>200</v>
      </c>
      <c r="M13" s="13">
        <v>200</v>
      </c>
      <c r="N13" s="13">
        <f t="shared" si="17"/>
        <v>2400</v>
      </c>
    </row>
    <row r="14" spans="1:18" ht="20.25" customHeight="1" thickBot="1" x14ac:dyDescent="0.3">
      <c r="A14" s="14" t="s">
        <v>8</v>
      </c>
      <c r="B14" s="15">
        <f>SUM(B15:B20)</f>
        <v>13051.67</v>
      </c>
      <c r="C14" s="15">
        <f t="shared" ref="C14:D14" si="18">SUM(C15:C20)</f>
        <v>24218.480000000003</v>
      </c>
      <c r="D14" s="15">
        <f t="shared" si="18"/>
        <v>13773.68</v>
      </c>
      <c r="E14" s="15">
        <f t="shared" ref="E14:M14" si="19">SUM(E15:E19)</f>
        <v>16353.369999999999</v>
      </c>
      <c r="F14" s="15">
        <f t="shared" si="19"/>
        <v>15543.37</v>
      </c>
      <c r="G14" s="15">
        <f t="shared" si="19"/>
        <v>14640.63</v>
      </c>
      <c r="H14" s="15">
        <f t="shared" si="19"/>
        <v>13570.07</v>
      </c>
      <c r="I14" s="15">
        <f t="shared" si="19"/>
        <v>25872.760000000002</v>
      </c>
      <c r="J14" s="15">
        <f t="shared" si="19"/>
        <v>35597.56</v>
      </c>
      <c r="K14" s="15">
        <f t="shared" si="19"/>
        <v>14860.36</v>
      </c>
      <c r="L14" s="15">
        <f t="shared" si="19"/>
        <v>21683.779999999995</v>
      </c>
      <c r="M14" s="15">
        <f t="shared" si="19"/>
        <v>23770.42</v>
      </c>
      <c r="N14" s="15">
        <f>SUM(B14:M14)</f>
        <v>232936.15000000002</v>
      </c>
    </row>
    <row r="15" spans="1:18" ht="24" customHeight="1" thickBot="1" x14ac:dyDescent="0.3">
      <c r="A15" s="3" t="s">
        <v>27</v>
      </c>
      <c r="B15" s="13">
        <f>12260.58+430.92</f>
        <v>12691.5</v>
      </c>
      <c r="C15" s="13">
        <f>22686.68+457.27</f>
        <v>23143.95</v>
      </c>
      <c r="D15" s="13">
        <f>12904.53+447.67+0.17</f>
        <v>13352.37</v>
      </c>
      <c r="E15" s="13">
        <f>15602.39+477.86+6.75</f>
        <v>16087</v>
      </c>
      <c r="F15" s="13">
        <f>14713.77+489.52</f>
        <v>15203.29</v>
      </c>
      <c r="G15" s="13">
        <f>13814.67+571.49+0.19</f>
        <v>14386.35</v>
      </c>
      <c r="H15" s="13">
        <f>12974.82+455.35</f>
        <v>13430.17</v>
      </c>
      <c r="I15" s="13">
        <f>23456.93+1173.04</f>
        <v>24629.97</v>
      </c>
      <c r="J15" s="13">
        <f>34027.36+1196.63</f>
        <v>35223.99</v>
      </c>
      <c r="K15" s="13">
        <f>12965.08+441.18</f>
        <v>13406.26</v>
      </c>
      <c r="L15" s="13">
        <f>18644.43+552.42</f>
        <v>19196.849999999999</v>
      </c>
      <c r="M15" s="13">
        <f>20944.89+600.1</f>
        <v>21544.989999999998</v>
      </c>
      <c r="N15" s="13">
        <f>SUM(B15:M15)</f>
        <v>222296.69</v>
      </c>
    </row>
    <row r="16" spans="1:18" ht="26.25" customHeight="1" thickBot="1" x14ac:dyDescent="0.3">
      <c r="A16" s="3" t="s">
        <v>15</v>
      </c>
      <c r="B16" s="13">
        <v>0</v>
      </c>
      <c r="C16" s="13">
        <v>0</v>
      </c>
      <c r="D16" s="13">
        <v>69.989999999999995</v>
      </c>
      <c r="E16" s="13">
        <v>68.23</v>
      </c>
      <c r="F16" s="13">
        <v>155.94999999999999</v>
      </c>
      <c r="G16" s="13">
        <v>84.88</v>
      </c>
      <c r="H16" s="13">
        <v>0</v>
      </c>
      <c r="I16" s="13">
        <v>988.3</v>
      </c>
      <c r="J16" s="13">
        <v>0</v>
      </c>
      <c r="K16" s="13">
        <v>0</v>
      </c>
      <c r="L16" s="13">
        <v>0</v>
      </c>
      <c r="M16" s="13">
        <v>1416.48</v>
      </c>
      <c r="N16" s="13">
        <f t="shared" ref="N16:N20" si="20">SUM(B16:M16)</f>
        <v>2783.83</v>
      </c>
    </row>
    <row r="17" spans="1:14" ht="26.25" customHeight="1" thickBot="1" x14ac:dyDescent="0.3">
      <c r="A17" s="3" t="s">
        <v>16</v>
      </c>
      <c r="B17" s="13">
        <v>54.42</v>
      </c>
      <c r="C17" s="13">
        <v>106.97</v>
      </c>
      <c r="D17" s="13">
        <v>57.25</v>
      </c>
      <c r="E17" s="13">
        <v>69.22</v>
      </c>
      <c r="F17" s="13">
        <v>61.8</v>
      </c>
      <c r="G17" s="13">
        <v>64.739999999999995</v>
      </c>
      <c r="H17" s="13">
        <v>57.59</v>
      </c>
      <c r="I17" s="13">
        <v>104.11</v>
      </c>
      <c r="J17" s="13">
        <v>155.38</v>
      </c>
      <c r="K17" s="13">
        <v>61.1</v>
      </c>
      <c r="L17" s="13">
        <v>73.94</v>
      </c>
      <c r="M17" s="13">
        <v>80.27</v>
      </c>
      <c r="N17" s="13">
        <f t="shared" si="20"/>
        <v>946.79</v>
      </c>
    </row>
    <row r="18" spans="1:14" ht="24" customHeight="1" thickBot="1" x14ac:dyDescent="0.3">
      <c r="A18" s="3" t="s">
        <v>17</v>
      </c>
      <c r="B18" s="13">
        <v>27.96</v>
      </c>
      <c r="C18" s="13">
        <v>615.38</v>
      </c>
      <c r="D18" s="13">
        <v>12.17</v>
      </c>
      <c r="E18" s="13">
        <v>29.9</v>
      </c>
      <c r="F18" s="13">
        <v>33.83</v>
      </c>
      <c r="G18" s="13">
        <v>12.06</v>
      </c>
      <c r="H18" s="13">
        <v>0</v>
      </c>
      <c r="I18" s="13">
        <v>0</v>
      </c>
      <c r="J18" s="13">
        <v>0</v>
      </c>
      <c r="K18" s="13">
        <v>1309.24</v>
      </c>
      <c r="L18" s="13">
        <v>2311.58</v>
      </c>
      <c r="M18" s="13">
        <v>618.57000000000005</v>
      </c>
      <c r="N18" s="13">
        <f t="shared" si="20"/>
        <v>4970.6899999999996</v>
      </c>
    </row>
    <row r="19" spans="1:14" ht="24" customHeight="1" thickBot="1" x14ac:dyDescent="0.3">
      <c r="A19" s="3" t="s">
        <v>23</v>
      </c>
      <c r="B19" s="16">
        <v>77.790000000000006</v>
      </c>
      <c r="C19" s="16">
        <v>152.18</v>
      </c>
      <c r="D19" s="16">
        <v>81.900000000000006</v>
      </c>
      <c r="E19" s="16">
        <v>99.02</v>
      </c>
      <c r="F19" s="16">
        <v>88.5</v>
      </c>
      <c r="G19" s="16">
        <v>92.6</v>
      </c>
      <c r="H19" s="16">
        <v>82.31</v>
      </c>
      <c r="I19" s="16">
        <v>150.38</v>
      </c>
      <c r="J19" s="16">
        <v>218.19</v>
      </c>
      <c r="K19" s="16">
        <v>83.76</v>
      </c>
      <c r="L19" s="16">
        <v>101.41</v>
      </c>
      <c r="M19" s="16">
        <v>110.11</v>
      </c>
      <c r="N19" s="16">
        <f t="shared" si="20"/>
        <v>1338.1499999999999</v>
      </c>
    </row>
    <row r="20" spans="1:14" ht="24" customHeight="1" thickBot="1" x14ac:dyDescent="0.3">
      <c r="A20" s="4" t="s">
        <v>26</v>
      </c>
      <c r="B20" s="17">
        <v>200</v>
      </c>
      <c r="C20" s="17">
        <v>200</v>
      </c>
      <c r="D20" s="17">
        <v>200</v>
      </c>
      <c r="E20" s="17">
        <v>200</v>
      </c>
      <c r="F20" s="17">
        <v>200</v>
      </c>
      <c r="G20" s="17">
        <v>200</v>
      </c>
      <c r="H20" s="17">
        <v>200</v>
      </c>
      <c r="I20" s="17">
        <v>200</v>
      </c>
      <c r="J20" s="17">
        <v>200</v>
      </c>
      <c r="K20" s="17">
        <v>200</v>
      </c>
      <c r="L20" s="17">
        <v>200</v>
      </c>
      <c r="M20" s="17">
        <v>200</v>
      </c>
      <c r="N20" s="17">
        <f t="shared" si="20"/>
        <v>2400</v>
      </c>
    </row>
    <row r="21" spans="1:14" ht="21.75" customHeight="1" thickBot="1" x14ac:dyDescent="0.3">
      <c r="A21" s="18" t="s">
        <v>22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20"/>
    </row>
    <row r="22" spans="1:14" ht="19.5" customHeight="1" thickBot="1" x14ac:dyDescent="0.3">
      <c r="A22" s="3" t="s">
        <v>1</v>
      </c>
      <c r="B22" s="13">
        <f t="shared" ref="B22:M22" si="21">1197.1*0.55</f>
        <v>658.40499999999997</v>
      </c>
      <c r="C22" s="13">
        <f t="shared" si="21"/>
        <v>658.40499999999997</v>
      </c>
      <c r="D22" s="13">
        <f t="shared" si="21"/>
        <v>658.40499999999997</v>
      </c>
      <c r="E22" s="13">
        <f t="shared" si="21"/>
        <v>658.40499999999997</v>
      </c>
      <c r="F22" s="13">
        <f t="shared" si="21"/>
        <v>658.40499999999997</v>
      </c>
      <c r="G22" s="13">
        <f t="shared" si="21"/>
        <v>658.40499999999997</v>
      </c>
      <c r="H22" s="13">
        <f t="shared" si="21"/>
        <v>658.40499999999997</v>
      </c>
      <c r="I22" s="13">
        <f t="shared" si="21"/>
        <v>658.40499999999997</v>
      </c>
      <c r="J22" s="13">
        <f t="shared" si="21"/>
        <v>658.40499999999997</v>
      </c>
      <c r="K22" s="13">
        <f t="shared" si="21"/>
        <v>658.40499999999997</v>
      </c>
      <c r="L22" s="13">
        <f t="shared" si="21"/>
        <v>658.40499999999997</v>
      </c>
      <c r="M22" s="13">
        <f t="shared" si="21"/>
        <v>658.40499999999997</v>
      </c>
      <c r="N22" s="13">
        <f>SUM(B22:M22)</f>
        <v>7900.8599999999979</v>
      </c>
    </row>
    <row r="23" spans="1:14" ht="22.5" customHeight="1" thickBot="1" x14ac:dyDescent="0.3">
      <c r="A23" s="3" t="s">
        <v>2</v>
      </c>
      <c r="B23" s="13">
        <f t="shared" ref="B23:M23" si="22">1197.1*0.17</f>
        <v>203.50700000000001</v>
      </c>
      <c r="C23" s="13">
        <f t="shared" si="22"/>
        <v>203.50700000000001</v>
      </c>
      <c r="D23" s="13">
        <f t="shared" si="22"/>
        <v>203.50700000000001</v>
      </c>
      <c r="E23" s="13">
        <f t="shared" si="22"/>
        <v>203.50700000000001</v>
      </c>
      <c r="F23" s="13">
        <f t="shared" si="22"/>
        <v>203.50700000000001</v>
      </c>
      <c r="G23" s="13">
        <f t="shared" si="22"/>
        <v>203.50700000000001</v>
      </c>
      <c r="H23" s="13">
        <f t="shared" si="22"/>
        <v>203.50700000000001</v>
      </c>
      <c r="I23" s="13">
        <f t="shared" si="22"/>
        <v>203.50700000000001</v>
      </c>
      <c r="J23" s="13">
        <f t="shared" si="22"/>
        <v>203.50700000000001</v>
      </c>
      <c r="K23" s="13">
        <f t="shared" si="22"/>
        <v>203.50700000000001</v>
      </c>
      <c r="L23" s="13">
        <f t="shared" si="22"/>
        <v>203.50700000000001</v>
      </c>
      <c r="M23" s="13">
        <f t="shared" si="22"/>
        <v>203.50700000000001</v>
      </c>
      <c r="N23" s="13">
        <f t="shared" ref="N23:N34" si="23">SUM(B23:M23)</f>
        <v>2442.0840000000003</v>
      </c>
    </row>
    <row r="24" spans="1:14" ht="21" customHeight="1" thickBot="1" x14ac:dyDescent="0.3">
      <c r="A24" s="3" t="s">
        <v>3</v>
      </c>
      <c r="B24" s="13">
        <f>18108.24*2.3%</f>
        <v>416.48952000000003</v>
      </c>
      <c r="C24" s="13">
        <f>17780.67*2.3%</f>
        <v>408.95540999999997</v>
      </c>
      <c r="D24" s="13">
        <f>18214.55*2.3%</f>
        <v>418.93464999999998</v>
      </c>
      <c r="E24" s="13">
        <f>17780.67*2.3%</f>
        <v>408.95540999999997</v>
      </c>
      <c r="F24" s="13">
        <f>36284.46*2.3%</f>
        <v>834.54257999999993</v>
      </c>
      <c r="G24" s="13">
        <f>20913.38*2.3%</f>
        <v>481.00774000000001</v>
      </c>
      <c r="H24" s="13">
        <f>17782.64*2.3%</f>
        <v>409.00072</v>
      </c>
      <c r="I24" s="13">
        <f>17787.26*2.3%</f>
        <v>409.10697999999996</v>
      </c>
      <c r="J24" s="13">
        <f>19528.79*2.3%</f>
        <v>449.16217</v>
      </c>
      <c r="K24" s="13">
        <f>24481.07*2.3%</f>
        <v>563.06461000000002</v>
      </c>
      <c r="L24" s="13">
        <f>31724.07*2.3%</f>
        <v>729.65360999999996</v>
      </c>
      <c r="M24" s="13">
        <f>26939.29*2.3%</f>
        <v>619.60366999999997</v>
      </c>
      <c r="N24" s="13">
        <f t="shared" si="23"/>
        <v>6148.4770700000008</v>
      </c>
    </row>
    <row r="25" spans="1:14" ht="23.25" customHeight="1" thickBot="1" x14ac:dyDescent="0.3">
      <c r="A25" s="3" t="s">
        <v>4</v>
      </c>
      <c r="B25" s="13">
        <f>12851.67*3%</f>
        <v>385.55009999999999</v>
      </c>
      <c r="C25" s="13">
        <f>24018.48*3%</f>
        <v>720.55439999999999</v>
      </c>
      <c r="D25" s="13">
        <f>13573.68*3%</f>
        <v>407.21039999999999</v>
      </c>
      <c r="E25" s="13">
        <f>16353.37*3%</f>
        <v>490.60110000000003</v>
      </c>
      <c r="F25" s="13">
        <f>15543.37*3%</f>
        <v>466.30110000000002</v>
      </c>
      <c r="G25" s="13">
        <f>14640.63*3%</f>
        <v>439.21889999999996</v>
      </c>
      <c r="H25" s="13">
        <f>13570.07*3%</f>
        <v>407.10209999999995</v>
      </c>
      <c r="I25" s="13">
        <f>25872.76*3%</f>
        <v>776.18279999999993</v>
      </c>
      <c r="J25" s="13">
        <f>35597.56*3%</f>
        <v>1067.9268</v>
      </c>
      <c r="K25" s="13">
        <f>14860.36*3%</f>
        <v>445.81080000000003</v>
      </c>
      <c r="L25" s="13">
        <f>21683.78*3%</f>
        <v>650.51339999999993</v>
      </c>
      <c r="M25" s="13">
        <f>23770.42*3%</f>
        <v>713.11259999999993</v>
      </c>
      <c r="N25" s="13">
        <f t="shared" si="23"/>
        <v>6970.084499999999</v>
      </c>
    </row>
    <row r="26" spans="1:14" ht="23.25" customHeight="1" thickBot="1" x14ac:dyDescent="0.3">
      <c r="A26" s="3" t="s">
        <v>9</v>
      </c>
      <c r="B26" s="13">
        <v>8858.5400000000009</v>
      </c>
      <c r="C26" s="13">
        <v>8858.5400000000009</v>
      </c>
      <c r="D26" s="13">
        <v>8858.5400000000009</v>
      </c>
      <c r="E26" s="13">
        <v>8858.5400000000009</v>
      </c>
      <c r="F26" s="13">
        <v>8858.5400000000009</v>
      </c>
      <c r="G26" s="13">
        <v>8858.5400000000009</v>
      </c>
      <c r="H26" s="13">
        <v>8858.5400000000009</v>
      </c>
      <c r="I26" s="13">
        <v>8858.5400000000009</v>
      </c>
      <c r="J26" s="13">
        <v>8858.5400000000009</v>
      </c>
      <c r="K26" s="13">
        <f>1197.1*8.5</f>
        <v>10175.349999999999</v>
      </c>
      <c r="L26" s="13">
        <f t="shared" ref="L26:M26" si="24">1197.1*8.5</f>
        <v>10175.349999999999</v>
      </c>
      <c r="M26" s="13">
        <f t="shared" si="24"/>
        <v>10175.349999999999</v>
      </c>
      <c r="N26" s="13">
        <f t="shared" si="23"/>
        <v>110252.91000000003</v>
      </c>
    </row>
    <row r="27" spans="1:14" ht="26.25" customHeight="1" thickBot="1" x14ac:dyDescent="0.3">
      <c r="A27" s="3" t="s">
        <v>18</v>
      </c>
      <c r="B27" s="13">
        <v>0</v>
      </c>
      <c r="C27" s="13">
        <f>381.99+51.92</f>
        <v>433.91</v>
      </c>
      <c r="D27" s="13">
        <v>0</v>
      </c>
      <c r="E27" s="13">
        <f>16289.55+2214.27</f>
        <v>18503.82</v>
      </c>
      <c r="F27" s="13">
        <f>3082.91+380.17</f>
        <v>3463.08</v>
      </c>
      <c r="G27" s="13">
        <v>0</v>
      </c>
      <c r="H27" s="13">
        <v>0</v>
      </c>
      <c r="I27" s="13">
        <v>0</v>
      </c>
      <c r="J27" s="13">
        <v>0</v>
      </c>
      <c r="K27" s="13">
        <f>8709.55+1228.92</f>
        <v>9938.4699999999993</v>
      </c>
      <c r="L27" s="13">
        <f>2985.1+409.07</f>
        <v>3394.17</v>
      </c>
      <c r="M27" s="13">
        <v>0</v>
      </c>
      <c r="N27" s="13">
        <f t="shared" si="23"/>
        <v>35733.449999999997</v>
      </c>
    </row>
    <row r="28" spans="1:14" ht="25.5" customHeight="1" thickBot="1" x14ac:dyDescent="0.3">
      <c r="A28" s="3" t="s">
        <v>19</v>
      </c>
      <c r="B28" s="13">
        <v>75.430000000000007</v>
      </c>
      <c r="C28" s="13">
        <v>75.430000000000007</v>
      </c>
      <c r="D28" s="13">
        <v>75.430000000000007</v>
      </c>
      <c r="E28" s="13">
        <v>75.430000000000007</v>
      </c>
      <c r="F28" s="13">
        <v>75.430000000000007</v>
      </c>
      <c r="G28" s="13">
        <v>75.430000000000007</v>
      </c>
      <c r="H28" s="13">
        <v>80.08</v>
      </c>
      <c r="I28" s="13">
        <v>80.08</v>
      </c>
      <c r="J28" s="13">
        <v>80.08</v>
      </c>
      <c r="K28" s="13">
        <v>80.08</v>
      </c>
      <c r="L28" s="13">
        <v>80.08</v>
      </c>
      <c r="M28" s="13">
        <v>80.08</v>
      </c>
      <c r="N28" s="13">
        <f t="shared" si="23"/>
        <v>933.06000000000029</v>
      </c>
    </row>
    <row r="29" spans="1:14" ht="23.25" customHeight="1" thickBot="1" x14ac:dyDescent="0.3">
      <c r="A29" s="3" t="s">
        <v>20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1741.5</v>
      </c>
      <c r="J29" s="13">
        <v>2695.5</v>
      </c>
      <c r="K29" s="13">
        <v>0</v>
      </c>
      <c r="L29" s="13">
        <v>1759.5</v>
      </c>
      <c r="M29" s="13">
        <v>1705.5</v>
      </c>
      <c r="N29" s="13">
        <f t="shared" si="23"/>
        <v>7902</v>
      </c>
    </row>
    <row r="30" spans="1:14" ht="26.25" customHeight="1" thickBot="1" x14ac:dyDescent="0.3">
      <c r="A30" s="3" t="s">
        <v>23</v>
      </c>
      <c r="B30" s="13">
        <v>107.86</v>
      </c>
      <c r="C30" s="13">
        <v>107.86</v>
      </c>
      <c r="D30" s="13">
        <v>107.86</v>
      </c>
      <c r="E30" s="13">
        <v>107.86</v>
      </c>
      <c r="F30" s="13">
        <v>107.86</v>
      </c>
      <c r="G30" s="13">
        <v>107.86</v>
      </c>
      <c r="H30" s="13">
        <v>109.79</v>
      </c>
      <c r="I30" s="13">
        <v>109.79</v>
      </c>
      <c r="J30" s="13">
        <v>109.79</v>
      </c>
      <c r="K30" s="13">
        <v>109.79</v>
      </c>
      <c r="L30" s="13">
        <v>109.79</v>
      </c>
      <c r="M30" s="13">
        <v>109.79</v>
      </c>
      <c r="N30" s="13">
        <f t="shared" si="23"/>
        <v>1305.8999999999999</v>
      </c>
    </row>
    <row r="31" spans="1:14" ht="22.5" customHeight="1" thickBot="1" x14ac:dyDescent="0.3">
      <c r="A31" s="3" t="s">
        <v>6</v>
      </c>
      <c r="B31" s="13">
        <f>1197.1*2.13</f>
        <v>2549.8229999999999</v>
      </c>
      <c r="C31" s="13">
        <f t="shared" ref="C31:J31" si="25">1197.1*2.13</f>
        <v>2549.8229999999999</v>
      </c>
      <c r="D31" s="13">
        <f t="shared" si="25"/>
        <v>2549.8229999999999</v>
      </c>
      <c r="E31" s="13">
        <f t="shared" si="25"/>
        <v>2549.8229999999999</v>
      </c>
      <c r="F31" s="13">
        <f t="shared" si="25"/>
        <v>2549.8229999999999</v>
      </c>
      <c r="G31" s="13">
        <f t="shared" si="25"/>
        <v>2549.8229999999999</v>
      </c>
      <c r="H31" s="13">
        <f t="shared" si="25"/>
        <v>2549.8229999999999</v>
      </c>
      <c r="I31" s="13">
        <f t="shared" si="25"/>
        <v>2549.8229999999999</v>
      </c>
      <c r="J31" s="13">
        <f t="shared" si="25"/>
        <v>2549.8229999999999</v>
      </c>
      <c r="K31" s="13">
        <f>1197.1*2.63</f>
        <v>3148.3729999999996</v>
      </c>
      <c r="L31" s="13">
        <f t="shared" ref="L31:M31" si="26">1197.1*2.63</f>
        <v>3148.3729999999996</v>
      </c>
      <c r="M31" s="13">
        <f t="shared" si="26"/>
        <v>3148.3729999999996</v>
      </c>
      <c r="N31" s="13">
        <f t="shared" si="23"/>
        <v>32393.525999999998</v>
      </c>
    </row>
    <row r="32" spans="1:14" ht="22.5" customHeight="1" thickBot="1" x14ac:dyDescent="0.3">
      <c r="A32" s="3" t="s">
        <v>25</v>
      </c>
      <c r="B32" s="13">
        <v>1140</v>
      </c>
      <c r="C32" s="13">
        <v>1140</v>
      </c>
      <c r="D32" s="13">
        <v>1140</v>
      </c>
      <c r="E32" s="13">
        <v>1140</v>
      </c>
      <c r="F32" s="13">
        <v>1140</v>
      </c>
      <c r="G32" s="13">
        <v>1140</v>
      </c>
      <c r="H32" s="13">
        <f>1140</f>
        <v>1140</v>
      </c>
      <c r="I32" s="13">
        <f>1140</f>
        <v>1140</v>
      </c>
      <c r="J32" s="13">
        <f>1140</f>
        <v>1140</v>
      </c>
      <c r="K32" s="13">
        <f>1140</f>
        <v>1140</v>
      </c>
      <c r="L32" s="13">
        <f>1140</f>
        <v>1140</v>
      </c>
      <c r="M32" s="13">
        <f>1140</f>
        <v>1140</v>
      </c>
      <c r="N32" s="13">
        <f t="shared" si="23"/>
        <v>13680</v>
      </c>
    </row>
    <row r="33" spans="1:14" ht="24.75" customHeight="1" thickBot="1" x14ac:dyDescent="0.3">
      <c r="A33" s="3" t="s">
        <v>24</v>
      </c>
      <c r="B33" s="13">
        <v>0</v>
      </c>
      <c r="C33" s="13">
        <v>0</v>
      </c>
      <c r="D33" s="13">
        <v>0</v>
      </c>
      <c r="E33" s="13">
        <v>0</v>
      </c>
      <c r="F33" s="13">
        <v>4209.41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f t="shared" si="23"/>
        <v>4209.41</v>
      </c>
    </row>
    <row r="34" spans="1:14" ht="24" customHeight="1" thickBot="1" x14ac:dyDescent="0.3">
      <c r="A34" s="3" t="s">
        <v>10</v>
      </c>
      <c r="B34" s="13">
        <v>0</v>
      </c>
      <c r="C34" s="13">
        <f>145555.93</f>
        <v>145555.93</v>
      </c>
      <c r="D34" s="13">
        <f>4370.7</f>
        <v>4370.7</v>
      </c>
      <c r="E34" s="13">
        <f>4445.5+75+1958</f>
        <v>6478.5</v>
      </c>
      <c r="F34" s="13">
        <v>0</v>
      </c>
      <c r="G34" s="13">
        <f>14250+1807.8</f>
        <v>16057.8</v>
      </c>
      <c r="H34" s="13">
        <f>113496.76+285+44700</f>
        <v>158481.76</v>
      </c>
      <c r="I34" s="13">
        <f>1888.6+41676.9</f>
        <v>43565.5</v>
      </c>
      <c r="J34" s="13">
        <v>0</v>
      </c>
      <c r="K34" s="13">
        <v>0</v>
      </c>
      <c r="L34" s="13">
        <f>3193.7</f>
        <v>3193.7</v>
      </c>
      <c r="M34" s="13">
        <v>0</v>
      </c>
      <c r="N34" s="13">
        <f t="shared" si="23"/>
        <v>377703.89</v>
      </c>
    </row>
    <row r="35" spans="1:14" ht="22.5" customHeight="1" thickBot="1" x14ac:dyDescent="0.3">
      <c r="A35" s="11" t="s">
        <v>21</v>
      </c>
      <c r="B35" s="12">
        <f t="shared" ref="B35:M35" si="27">SUM(B22:B34)</f>
        <v>14395.604620000002</v>
      </c>
      <c r="C35" s="12">
        <f t="shared" si="27"/>
        <v>160712.91480999999</v>
      </c>
      <c r="D35" s="12">
        <f t="shared" si="27"/>
        <v>18790.410050000002</v>
      </c>
      <c r="E35" s="12">
        <f t="shared" si="27"/>
        <v>39475.441510000004</v>
      </c>
      <c r="F35" s="12">
        <f t="shared" si="27"/>
        <v>22566.898680000002</v>
      </c>
      <c r="G35" s="12">
        <f t="shared" si="27"/>
        <v>30571.591640000002</v>
      </c>
      <c r="H35" s="12">
        <f t="shared" si="27"/>
        <v>172898.00782</v>
      </c>
      <c r="I35" s="12">
        <f t="shared" si="27"/>
        <v>60092.434780000003</v>
      </c>
      <c r="J35" s="12">
        <f t="shared" si="27"/>
        <v>17812.733970000001</v>
      </c>
      <c r="K35" s="12">
        <f t="shared" si="27"/>
        <v>26462.850409999999</v>
      </c>
      <c r="L35" s="12">
        <f t="shared" si="27"/>
        <v>25243.042010000001</v>
      </c>
      <c r="M35" s="12">
        <f t="shared" si="27"/>
        <v>18553.721270000002</v>
      </c>
      <c r="N35" s="12">
        <f>SUM(B35:M35)</f>
        <v>607575.65156999987</v>
      </c>
    </row>
    <row r="36" spans="1:14" ht="23.25" customHeight="1" thickBot="1" x14ac:dyDescent="0.3">
      <c r="A36" s="3" t="s">
        <v>5</v>
      </c>
      <c r="B36" s="16">
        <f t="shared" ref="B36:N36" si="28">B14-B35</f>
        <v>-1343.9346200000018</v>
      </c>
      <c r="C36" s="16">
        <f t="shared" si="28"/>
        <v>-136494.43480999998</v>
      </c>
      <c r="D36" s="16">
        <f t="shared" si="28"/>
        <v>-5016.7300500000019</v>
      </c>
      <c r="E36" s="16">
        <f t="shared" si="28"/>
        <v>-23122.071510000005</v>
      </c>
      <c r="F36" s="16">
        <f t="shared" si="28"/>
        <v>-7023.5286800000013</v>
      </c>
      <c r="G36" s="16">
        <f t="shared" si="28"/>
        <v>-15930.961640000003</v>
      </c>
      <c r="H36" s="16">
        <f t="shared" si="28"/>
        <v>-159327.93781999999</v>
      </c>
      <c r="I36" s="16">
        <f t="shared" si="28"/>
        <v>-34219.674780000001</v>
      </c>
      <c r="J36" s="16">
        <f t="shared" si="28"/>
        <v>17784.826029999997</v>
      </c>
      <c r="K36" s="16">
        <f t="shared" si="28"/>
        <v>-11602.490409999999</v>
      </c>
      <c r="L36" s="16">
        <f t="shared" si="28"/>
        <v>-3559.2620100000058</v>
      </c>
      <c r="M36" s="16">
        <f t="shared" si="28"/>
        <v>5216.6987299999964</v>
      </c>
      <c r="N36" s="16">
        <f t="shared" si="28"/>
        <v>-374639.50156999985</v>
      </c>
    </row>
    <row r="37" spans="1:14" ht="23.25" customHeight="1" thickBot="1" x14ac:dyDescent="0.3">
      <c r="A37" s="3" t="s">
        <v>7</v>
      </c>
      <c r="B37" s="21">
        <f t="shared" ref="B37:N37" si="29">B5+B36</f>
        <v>15473.655379999998</v>
      </c>
      <c r="C37" s="21">
        <f t="shared" si="29"/>
        <v>-121020.77942999998</v>
      </c>
      <c r="D37" s="21">
        <f t="shared" si="29"/>
        <v>-126037.50947999998</v>
      </c>
      <c r="E37" s="21">
        <f t="shared" si="29"/>
        <v>-149159.58098999999</v>
      </c>
      <c r="F37" s="21">
        <f t="shared" si="29"/>
        <v>-156183.10966999998</v>
      </c>
      <c r="G37" s="21">
        <f t="shared" si="29"/>
        <v>-172114.07130999997</v>
      </c>
      <c r="H37" s="21">
        <f t="shared" si="29"/>
        <v>-331442.00912999996</v>
      </c>
      <c r="I37" s="21">
        <f t="shared" si="29"/>
        <v>-365661.68390999996</v>
      </c>
      <c r="J37" s="21">
        <f t="shared" si="29"/>
        <v>-347876.85787999997</v>
      </c>
      <c r="K37" s="21">
        <f t="shared" si="29"/>
        <v>-359479.34828999999</v>
      </c>
      <c r="L37" s="21">
        <f t="shared" si="29"/>
        <v>-363038.6103</v>
      </c>
      <c r="M37" s="21">
        <f t="shared" si="29"/>
        <v>-357821.91157</v>
      </c>
      <c r="N37" s="21">
        <f t="shared" si="29"/>
        <v>-357821.91156999982</v>
      </c>
    </row>
    <row r="38" spans="1:14" ht="27" customHeight="1" thickBot="1" x14ac:dyDescent="0.3">
      <c r="A38" s="18" t="s">
        <v>11</v>
      </c>
      <c r="B38" s="20">
        <f t="shared" ref="B38:N38" si="30">B6+B14-B7</f>
        <v>-59424.01</v>
      </c>
      <c r="C38" s="20">
        <f t="shared" si="30"/>
        <v>-53186.2</v>
      </c>
      <c r="D38" s="20">
        <f t="shared" si="30"/>
        <v>-57827.069999999992</v>
      </c>
      <c r="E38" s="20">
        <f t="shared" si="30"/>
        <v>-59254.369999999995</v>
      </c>
      <c r="F38" s="20">
        <f t="shared" si="30"/>
        <v>-79995.459999999992</v>
      </c>
      <c r="G38" s="20">
        <f t="shared" si="30"/>
        <v>-86268.209999999992</v>
      </c>
      <c r="H38" s="20">
        <f t="shared" si="30"/>
        <v>-90480.779999999984</v>
      </c>
      <c r="I38" s="20">
        <f t="shared" si="30"/>
        <v>-82395.279999999984</v>
      </c>
      <c r="J38" s="20">
        <f t="shared" si="30"/>
        <v>-66326.50999999998</v>
      </c>
      <c r="K38" s="20">
        <f t="shared" si="30"/>
        <v>-75947.219999999972</v>
      </c>
      <c r="L38" s="20">
        <f t="shared" si="30"/>
        <v>-85987.50999999998</v>
      </c>
      <c r="M38" s="20">
        <f t="shared" si="30"/>
        <v>-89156.379999999976</v>
      </c>
      <c r="N38" s="20">
        <f t="shared" si="30"/>
        <v>-89156.38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2022-03-14T07:47:02Z</cp:lastPrinted>
  <dcterms:created xsi:type="dcterms:W3CDTF">2011-06-06T03:25:48Z</dcterms:created>
  <dcterms:modified xsi:type="dcterms:W3CDTF">2022-03-14T07:50:02Z</dcterms:modified>
</cp:coreProperties>
</file>