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L39" i="1" l="1"/>
  <c r="M39" i="1" l="1"/>
  <c r="M37" i="1" l="1"/>
  <c r="L37" i="1" l="1"/>
  <c r="K37" i="1" l="1"/>
  <c r="M31" i="1" l="1"/>
  <c r="L31" i="1"/>
  <c r="K31" i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L35" i="1" l="1"/>
  <c r="M35" i="1"/>
  <c r="K35" i="1"/>
  <c r="L30" i="1"/>
  <c r="M30" i="1"/>
  <c r="K30" i="1"/>
  <c r="K27" i="1"/>
  <c r="L27" i="1"/>
  <c r="M27" i="1"/>
  <c r="K26" i="1"/>
  <c r="L26" i="1"/>
  <c r="M26" i="1"/>
  <c r="C35" i="1" l="1"/>
  <c r="D35" i="1"/>
  <c r="E35" i="1"/>
  <c r="F35" i="1"/>
  <c r="G35" i="1"/>
  <c r="H35" i="1"/>
  <c r="I35" i="1"/>
  <c r="J35" i="1"/>
  <c r="B35" i="1"/>
  <c r="J39" i="1" l="1"/>
  <c r="J31" i="1" l="1"/>
  <c r="I31" i="1"/>
  <c r="H31" i="1"/>
  <c r="J37" i="1" l="1"/>
  <c r="I37" i="1" l="1"/>
  <c r="H37" i="1" l="1"/>
  <c r="J29" i="1" l="1"/>
  <c r="J17" i="1"/>
  <c r="J28" i="1"/>
  <c r="J8" i="1"/>
  <c r="H39" i="1" l="1"/>
  <c r="I29" i="1" l="1"/>
  <c r="I17" i="1"/>
  <c r="I28" i="1"/>
  <c r="I8" i="1"/>
  <c r="H29" i="1" l="1"/>
  <c r="H17" i="1"/>
  <c r="H28" i="1"/>
  <c r="H8" i="1"/>
  <c r="H27" i="1" l="1"/>
  <c r="I27" i="1"/>
  <c r="J27" i="1"/>
  <c r="H26" i="1"/>
  <c r="I26" i="1"/>
  <c r="J26" i="1"/>
  <c r="G26" i="1"/>
  <c r="G39" i="1" l="1"/>
  <c r="G37" i="1" l="1"/>
  <c r="F37" i="1" l="1"/>
  <c r="E37" i="1" l="1"/>
  <c r="G29" i="1" l="1"/>
  <c r="G17" i="1"/>
  <c r="G28" i="1"/>
  <c r="G8" i="1"/>
  <c r="F29" i="1" l="1"/>
  <c r="F17" i="1"/>
  <c r="F28" i="1"/>
  <c r="F8" i="1"/>
  <c r="F39" i="1" l="1"/>
  <c r="E29" i="1" l="1"/>
  <c r="E17" i="1"/>
  <c r="E28" i="1"/>
  <c r="E8" i="1"/>
  <c r="E39" i="1" l="1"/>
  <c r="E27" i="1" l="1"/>
  <c r="F27" i="1"/>
  <c r="G27" i="1"/>
  <c r="E26" i="1"/>
  <c r="F26" i="1"/>
  <c r="N30" i="1" l="1"/>
  <c r="N32" i="1"/>
  <c r="N33" i="1"/>
  <c r="N34" i="1"/>
  <c r="N36" i="1"/>
  <c r="D37" i="1" l="1"/>
  <c r="D31" i="1" l="1"/>
  <c r="C31" i="1"/>
  <c r="B31" i="1"/>
  <c r="N31" i="1" s="1"/>
  <c r="C37" i="1" l="1"/>
  <c r="B37" i="1" l="1"/>
  <c r="N37" i="1" s="1"/>
  <c r="C39" i="1" l="1"/>
  <c r="C38" i="1" l="1"/>
  <c r="N38" i="1" s="1"/>
  <c r="B39" i="1" l="1"/>
  <c r="N39" i="1" s="1"/>
  <c r="D29" i="1" l="1"/>
  <c r="D17" i="1"/>
  <c r="D28" i="1" l="1"/>
  <c r="D8" i="1"/>
  <c r="C29" i="1" l="1"/>
  <c r="C17" i="1"/>
  <c r="C28" i="1"/>
  <c r="C8" i="1"/>
  <c r="B29" i="1" l="1"/>
  <c r="N29" i="1" s="1"/>
  <c r="B17" i="1"/>
  <c r="B28" i="1"/>
  <c r="N28" i="1" s="1"/>
  <c r="B8" i="1"/>
  <c r="C27" i="1" l="1"/>
  <c r="D27" i="1"/>
  <c r="C26" i="1"/>
  <c r="D26" i="1"/>
  <c r="N35" i="1"/>
  <c r="B27" i="1"/>
  <c r="N27" i="1" s="1"/>
  <c r="B26" i="1"/>
  <c r="N26" i="1" l="1"/>
  <c r="N6" i="1"/>
  <c r="N5" i="1"/>
  <c r="M7" i="1" l="1"/>
  <c r="N17" i="1"/>
  <c r="N23" i="1"/>
  <c r="N14" i="1"/>
  <c r="N18" i="1"/>
  <c r="N19" i="1"/>
  <c r="N20" i="1"/>
  <c r="N21" i="1"/>
  <c r="N22" i="1"/>
  <c r="N24" i="1"/>
  <c r="N9" i="1"/>
  <c r="N10" i="1"/>
  <c r="N11" i="1"/>
  <c r="N12" i="1"/>
  <c r="N13" i="1"/>
  <c r="N15" i="1"/>
  <c r="N8" i="1"/>
  <c r="K16" i="1"/>
  <c r="L16" i="1"/>
  <c r="M16" i="1"/>
  <c r="K7" i="1"/>
  <c r="L7" i="1"/>
  <c r="M40" i="1" l="1"/>
  <c r="M41" i="1" s="1"/>
  <c r="L40" i="1"/>
  <c r="L41" i="1" s="1"/>
  <c r="K40" i="1"/>
  <c r="K41" i="1" s="1"/>
  <c r="H16" i="1" l="1"/>
  <c r="I16" i="1"/>
  <c r="J16" i="1"/>
  <c r="H7" i="1"/>
  <c r="I7" i="1"/>
  <c r="J7" i="1"/>
  <c r="J40" i="1" l="1"/>
  <c r="J41" i="1" s="1"/>
  <c r="I40" i="1"/>
  <c r="I41" i="1" s="1"/>
  <c r="H40" i="1" l="1"/>
  <c r="H41" i="1" l="1"/>
  <c r="E16" i="1" l="1"/>
  <c r="F16" i="1"/>
  <c r="G16" i="1"/>
  <c r="E7" i="1"/>
  <c r="F7" i="1"/>
  <c r="G7" i="1"/>
  <c r="D16" i="1"/>
  <c r="D40" i="1" s="1"/>
  <c r="D7" i="1"/>
  <c r="C16" i="1"/>
  <c r="C7" i="1"/>
  <c r="B16" i="1"/>
  <c r="B40" i="1" s="1"/>
  <c r="B7" i="1"/>
  <c r="N7" i="1" l="1"/>
  <c r="N16" i="1"/>
  <c r="G40" i="1"/>
  <c r="G41" i="1" s="1"/>
  <c r="F40" i="1"/>
  <c r="F41" i="1" s="1"/>
  <c r="D41" i="1"/>
  <c r="E40" i="1"/>
  <c r="B43" i="1"/>
  <c r="C6" i="1" s="1"/>
  <c r="C43" i="1" s="1"/>
  <c r="D6" i="1" s="1"/>
  <c r="D43" i="1" s="1"/>
  <c r="E6" i="1" s="1"/>
  <c r="E43" i="1" s="1"/>
  <c r="F6" i="1" s="1"/>
  <c r="F43" i="1" s="1"/>
  <c r="G6" i="1" s="1"/>
  <c r="C40" i="1" l="1"/>
  <c r="C41" i="1" s="1"/>
  <c r="E41" i="1"/>
  <c r="G43" i="1"/>
  <c r="H6" i="1" s="1"/>
  <c r="H43" i="1" s="1"/>
  <c r="I6" i="1" s="1"/>
  <c r="I43" i="1" s="1"/>
  <c r="J6" i="1" s="1"/>
  <c r="N43" i="1"/>
  <c r="N40" i="1" l="1"/>
  <c r="N41" i="1" s="1"/>
  <c r="N42" i="1" s="1"/>
  <c r="J43" i="1"/>
  <c r="K6" i="1" s="1"/>
  <c r="K43" i="1" s="1"/>
  <c r="L6" i="1" s="1"/>
  <c r="L43" i="1" s="1"/>
  <c r="M6" i="1" s="1"/>
  <c r="M43" i="1" s="1"/>
  <c r="B41" i="1"/>
  <c r="B42" i="1" s="1"/>
  <c r="C42" i="1" l="1"/>
  <c r="D42" i="1" s="1"/>
  <c r="C5" i="1"/>
  <c r="D5" i="1" l="1"/>
  <c r="E5" i="1"/>
  <c r="E42" i="1"/>
  <c r="F5" i="1" l="1"/>
  <c r="F42" i="1"/>
  <c r="G42" i="1" s="1"/>
  <c r="G5" i="1" l="1"/>
  <c r="H5" i="1" l="1"/>
  <c r="H42" i="1"/>
  <c r="I42" i="1" l="1"/>
  <c r="J42" i="1" s="1"/>
  <c r="I5" i="1"/>
  <c r="J5" i="1" l="1"/>
  <c r="K5" i="1" l="1"/>
  <c r="K42" i="1"/>
  <c r="L42" i="1" l="1"/>
  <c r="L5" i="1"/>
  <c r="M42" i="1" l="1"/>
  <c r="M5" i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<sst xmlns="http://schemas.openxmlformats.org/spreadsheetml/2006/main" count="54" uniqueCount="44">
  <si>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</si>
  <si>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</si>
  <si>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</si>
  <si>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</si>
  <si>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</si>
  <si>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</si>
  <si>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</si>
  <si>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</si>
  <si>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</si>
  <si>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</si>
  <si>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</si>
  <si>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</si>
  <si>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</si>
  <si>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</si>
  <si>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</si>
  <si>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</si>
  <si>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</si>
  <si>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</si>
  <si>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</si>
  <si>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</si>
  <si>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</si>
  <si>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</si>
  <si>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</si>
  <si>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</si>
  <si>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</si>
  <si>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</si>
  <si>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Вознаграждение, координация с советом МКД</t>
  </si>
  <si>
    <t>Отведение сточных вод ОИ</t>
  </si>
  <si>
    <t>Установка пластиковых окон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</si>
  <si>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</si>
  <si>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</si>
  <si>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</si>
  <si>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</si>
  <si>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</si>
  <si>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</si>
  <si>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</si>
  <si>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</si>
  <si>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</si>
  <si>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</si>
  <si>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</si>
  <si>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</si>
  <si>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</si>
  <si>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</si>
  <si>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 xml:space="preserve">                 ОТЧЕТ по дому Васильева, 9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</si>
</sst>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B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5546875" customWidth="1"/>
    <col min="3" max="3" width="14.6640625" customWidth="1"/>
    <col min="4" max="4" width="14.5546875" customWidth="1"/>
    <col min="5" max="5" width="14.109375" customWidth="1"/>
    <col min="6" max="6" width="13.44140625" customWidth="1"/>
    <col min="7" max="7" width="15" customWidth="1"/>
    <col min="8" max="8" width="13.88671875" customWidth="1"/>
    <col min="9" max="9" width="13.5546875" customWidth="1"/>
    <col min="10" max="13" width="14.33203125" customWidth="1"/>
    <col min="14" max="14" width="17.88671875" customWidth="1"/>
  </cols>
  <sheetData>
    <row r="1" spans="1:18" ht="20.25" customHeight="1" x14ac:dyDescent="0.4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-423877.84</v>
      </c>
      <c r="C5" s="8">
        <f t="shared" ref="C5:D6" si="0">B42</f>
        <v>-444992.66927000001</v>
      </c>
      <c r="D5" s="8">
        <f t="shared" si="0"/>
        <v>-457425.75612000003</v>
      </c>
      <c r="E5" s="8">
        <f t="shared" ref="E5:E6" si="1">D42</f>
        <v>-426802.45788</v>
      </c>
      <c r="F5" s="8">
        <f t="shared" ref="F5:F6" si="2">E42</f>
        <v>-359916.47962</v>
      </c>
      <c r="G5" s="8">
        <f t="shared" ref="G5:G6" si="3">F42</f>
        <v>-602878.29092000006</v>
      </c>
      <c r="H5" s="8">
        <f t="shared" ref="H5:H6" si="4">G42</f>
        <v>-619073.32825000002</v>
      </c>
      <c r="I5" s="8">
        <f t="shared" ref="I5:I6" si="5">H42</f>
        <v>-588055.44539000001</v>
      </c>
      <c r="J5" s="8">
        <f t="shared" ref="J5:J6" si="6">I42</f>
        <v>-593566.20718999999</v>
      </c>
      <c r="K5" s="8">
        <f t="shared" ref="K5:K6" si="7">J42</f>
        <v>-593441.42067000002</v>
      </c>
      <c r="L5" s="8">
        <f t="shared" ref="L5:L6" si="8">K42</f>
        <v>-584731.17431999999</v>
      </c>
      <c r="M5" s="8">
        <f t="shared" ref="M5:M6" si="9">L42</f>
        <v>-583630.48017999995</v>
      </c>
      <c r="N5" s="8">
        <f>B5</f>
        <v>-423877.84</v>
      </c>
    </row>
    <row r="6" spans="1:18" ht="21" customHeight="1" thickBot="1" x14ac:dyDescent="0.3">
      <c r="A6" s="7" t="s">
        <v>13</v>
      </c>
      <c r="B6" s="8">
        <v>-210476.52</v>
      </c>
      <c r="C6" s="8">
        <f t="shared" si="0"/>
        <v>-213507.79999999996</v>
      </c>
      <c r="D6" s="8">
        <f t="shared" si="0"/>
        <v>-238471.26999999996</v>
      </c>
      <c r="E6" s="8">
        <f t="shared" si="1"/>
        <v>-232434.39999999991</v>
      </c>
      <c r="F6" s="8">
        <f t="shared" si="2"/>
        <v>-177578.8299999999</v>
      </c>
      <c r="G6" s="8">
        <f t="shared" si="3"/>
        <v>-179593.58999999988</v>
      </c>
      <c r="H6" s="8">
        <f t="shared" si="4"/>
        <v>-204392.46999999986</v>
      </c>
      <c r="I6" s="8">
        <f t="shared" si="5"/>
        <v>-164571.31999999986</v>
      </c>
      <c r="J6" s="8">
        <f t="shared" si="6"/>
        <v>-187964.28999999983</v>
      </c>
      <c r="K6" s="8">
        <f t="shared" si="7"/>
        <v>-191297.87999999983</v>
      </c>
      <c r="L6" s="8">
        <f t="shared" si="8"/>
        <v>-189588.25999999983</v>
      </c>
      <c r="M6" s="8">
        <f t="shared" si="9"/>
        <v>-189608.74999999983</v>
      </c>
      <c r="N6" s="8">
        <f>B6</f>
        <v>-210476.52</v>
      </c>
    </row>
    <row r="7" spans="1:18" ht="20.25" customHeight="1" thickBot="1" x14ac:dyDescent="0.3">
      <c r="A7" s="9" t="s">
        <v>12</v>
      </c>
      <c r="B7" s="10">
        <f>SUM(B8:B15)</f>
        <v>61689.389999999992</v>
      </c>
      <c r="C7" s="10">
        <f>SUM(C8:C15)</f>
        <v>84731.15</v>
      </c>
      <c r="D7" s="10">
        <f>SUM(D8:D15)</f>
        <v>70888.219999999987</v>
      </c>
      <c r="E7" s="10">
        <f t="shared" ref="E7:M7" si="10">SUM(E8:E15)</f>
        <v>60706.87999999999</v>
      </c>
      <c r="F7" s="10">
        <f t="shared" si="10"/>
        <v>59149.69999999999</v>
      </c>
      <c r="G7" s="10">
        <f t="shared" si="10"/>
        <v>82614.409999999989</v>
      </c>
      <c r="H7" s="10">
        <f t="shared" si="10"/>
        <v>36792.879999999997</v>
      </c>
      <c r="I7" s="10">
        <f t="shared" si="10"/>
        <v>61075.299999999996</v>
      </c>
      <c r="J7" s="10">
        <f t="shared" si="10"/>
        <v>59666.05999999999</v>
      </c>
      <c r="K7" s="10">
        <f t="shared" si="10"/>
        <v>61930.849999999991</v>
      </c>
      <c r="L7" s="10">
        <f t="shared" si="10"/>
        <v>71081.52</v>
      </c>
      <c r="M7" s="10">
        <f t="shared" si="10"/>
        <v>74224.56</v>
      </c>
      <c r="N7" s="10">
        <f>SUM(B7:M7)</f>
        <v>784550.91999999993</v>
      </c>
    </row>
    <row r="8" spans="1:18" ht="24.75" customHeight="1" thickBot="1" x14ac:dyDescent="0.3">
      <c r="A8" s="4" t="s">
        <v>29</v>
      </c>
      <c r="B8" s="11">
        <f t="shared" ref="B8:G8" si="11">52951.81+432.74+1165.2</f>
        <v>54549.749999999993</v>
      </c>
      <c r="C8" s="11">
        <f t="shared" si="11"/>
        <v>54549.749999999993</v>
      </c>
      <c r="D8" s="11">
        <f t="shared" si="11"/>
        <v>54549.749999999993</v>
      </c>
      <c r="E8" s="11">
        <f t="shared" si="11"/>
        <v>54549.749999999993</v>
      </c>
      <c r="F8" s="11">
        <f t="shared" si="11"/>
        <v>54549.749999999993</v>
      </c>
      <c r="G8" s="11">
        <f t="shared" si="11"/>
        <v>54549.749999999993</v>
      </c>
      <c r="H8" s="11">
        <f>52951.81+432.74+1165.2</f>
        <v>54549.749999999993</v>
      </c>
      <c r="I8" s="11">
        <f>52951.81+432.74+1165.2</f>
        <v>54549.749999999993</v>
      </c>
      <c r="J8" s="11">
        <f>52951.81+432.74+1165.2</f>
        <v>54549.749999999993</v>
      </c>
      <c r="K8" s="11">
        <f>59460.6+432.74+1165.2</f>
        <v>61058.539999999994</v>
      </c>
      <c r="L8" s="11">
        <f>59460.6+432.74+1165.2</f>
        <v>61058.539999999994</v>
      </c>
      <c r="M8" s="11">
        <f>59460.6+432.74+1165.2</f>
        <v>61058.539999999994</v>
      </c>
      <c r="N8" s="11">
        <f>SUM(B8:M8)</f>
        <v>674123.37</v>
      </c>
    </row>
    <row r="9" spans="1:18" ht="24.75" customHeight="1" thickBot="1" x14ac:dyDescent="0.3">
      <c r="A9" s="4" t="s">
        <v>17</v>
      </c>
      <c r="B9" s="11">
        <v>0</v>
      </c>
      <c r="C9" s="11">
        <v>13834.51</v>
      </c>
      <c r="D9" s="11">
        <v>2836.82</v>
      </c>
      <c r="E9" s="11">
        <v>1557.18</v>
      </c>
      <c r="F9" s="11">
        <v>0</v>
      </c>
      <c r="G9" s="11">
        <v>23464.71</v>
      </c>
      <c r="H9" s="11">
        <v>-23464.71</v>
      </c>
      <c r="I9" s="11">
        <v>1920.23</v>
      </c>
      <c r="J9" s="11">
        <v>510.99</v>
      </c>
      <c r="K9" s="11">
        <v>1888.38</v>
      </c>
      <c r="L9" s="11">
        <v>5417.66</v>
      </c>
      <c r="M9" s="11">
        <v>8560.7000000000007</v>
      </c>
      <c r="N9" s="11">
        <f t="shared" ref="N9:N15" si="12">SUM(B9:M9)</f>
        <v>36526.47</v>
      </c>
    </row>
    <row r="10" spans="1:18" ht="21.75" customHeight="1" thickBot="1" x14ac:dyDescent="0.3">
      <c r="A10" s="4" t="s">
        <v>18</v>
      </c>
      <c r="B10" s="11">
        <v>0</v>
      </c>
      <c r="C10" s="11">
        <v>2845.24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-5621.39</v>
      </c>
      <c r="L10" s="11">
        <v>0</v>
      </c>
      <c r="M10" s="11">
        <v>0</v>
      </c>
      <c r="N10" s="11">
        <f t="shared" si="12"/>
        <v>-2776.1500000000005</v>
      </c>
    </row>
    <row r="11" spans="1:18" ht="22.5" customHeight="1" thickBot="1" x14ac:dyDescent="0.3">
      <c r="A11" s="4" t="s">
        <v>19</v>
      </c>
      <c r="B11" s="11">
        <v>2539.69</v>
      </c>
      <c r="C11" s="11">
        <v>8901.7000000000007</v>
      </c>
      <c r="D11" s="11">
        <v>8901.7000000000007</v>
      </c>
      <c r="E11" s="11">
        <v>0</v>
      </c>
      <c r="F11" s="11">
        <v>0</v>
      </c>
      <c r="G11" s="11">
        <v>0</v>
      </c>
      <c r="H11" s="11">
        <v>1102.52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si="12"/>
        <v>21445.610000000004</v>
      </c>
    </row>
    <row r="12" spans="1:18" ht="22.5" customHeight="1" thickBot="1" x14ac:dyDescent="0.3">
      <c r="A12" s="4" t="s">
        <v>26</v>
      </c>
      <c r="B12" s="11">
        <v>3696</v>
      </c>
      <c r="C12" s="11">
        <v>3696</v>
      </c>
      <c r="D12" s="11">
        <v>3696</v>
      </c>
      <c r="E12" s="11">
        <v>3696</v>
      </c>
      <c r="F12" s="11">
        <v>3696</v>
      </c>
      <c r="G12" s="11">
        <v>3696</v>
      </c>
      <c r="H12" s="11">
        <v>3696</v>
      </c>
      <c r="I12" s="11">
        <v>3696</v>
      </c>
      <c r="J12" s="11">
        <v>3696</v>
      </c>
      <c r="K12" s="11">
        <v>3696</v>
      </c>
      <c r="L12" s="11">
        <v>3696</v>
      </c>
      <c r="M12" s="11">
        <v>3696</v>
      </c>
      <c r="N12" s="11">
        <f t="shared" si="12"/>
        <v>44352</v>
      </c>
    </row>
    <row r="13" spans="1:18" ht="22.5" customHeight="1" thickBot="1" x14ac:dyDescent="0.3">
      <c r="A13" s="4" t="s">
        <v>27</v>
      </c>
      <c r="B13" s="11">
        <v>303.95</v>
      </c>
      <c r="C13" s="11">
        <v>303.95</v>
      </c>
      <c r="D13" s="11">
        <v>303.95</v>
      </c>
      <c r="E13" s="11">
        <v>303.95</v>
      </c>
      <c r="F13" s="11">
        <v>303.95</v>
      </c>
      <c r="G13" s="11">
        <v>303.95</v>
      </c>
      <c r="H13" s="11">
        <v>309.32</v>
      </c>
      <c r="I13" s="11">
        <v>309.32</v>
      </c>
      <c r="J13" s="11">
        <v>309.32</v>
      </c>
      <c r="K13" s="11">
        <v>309.32</v>
      </c>
      <c r="L13" s="11">
        <v>309.32</v>
      </c>
      <c r="M13" s="11">
        <v>309.32</v>
      </c>
      <c r="N13" s="11">
        <f t="shared" si="12"/>
        <v>3679.6200000000008</v>
      </c>
    </row>
    <row r="14" spans="1:18" ht="22.5" hidden="1" customHeight="1" thickBot="1" x14ac:dyDescent="0.3">
      <c r="A14" s="4" t="s">
        <v>28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/>
      <c r="L14" s="11"/>
      <c r="M14" s="11"/>
      <c r="N14" s="11">
        <f t="shared" si="12"/>
        <v>0</v>
      </c>
    </row>
    <row r="15" spans="1:18" ht="24" customHeight="1" thickBot="1" x14ac:dyDescent="0.3">
      <c r="A15" s="4" t="s">
        <v>15</v>
      </c>
      <c r="B15" s="11">
        <v>600</v>
      </c>
      <c r="C15" s="11">
        <v>600</v>
      </c>
      <c r="D15" s="11">
        <v>600</v>
      </c>
      <c r="E15" s="11">
        <v>600</v>
      </c>
      <c r="F15" s="11">
        <v>600</v>
      </c>
      <c r="G15" s="11">
        <v>600</v>
      </c>
      <c r="H15" s="11">
        <v>600</v>
      </c>
      <c r="I15" s="11">
        <v>600</v>
      </c>
      <c r="J15" s="11">
        <v>600</v>
      </c>
      <c r="K15" s="11">
        <v>600</v>
      </c>
      <c r="L15" s="11">
        <v>600</v>
      </c>
      <c r="M15" s="11">
        <v>600</v>
      </c>
      <c r="N15" s="11">
        <f t="shared" si="12"/>
        <v>7200</v>
      </c>
    </row>
    <row r="16" spans="1:18" ht="20.25" customHeight="1" thickBot="1" x14ac:dyDescent="0.3">
      <c r="A16" s="12" t="s">
        <v>8</v>
      </c>
      <c r="B16" s="13">
        <f>SUM(B17:B24)</f>
        <v>58658.11</v>
      </c>
      <c r="C16" s="13">
        <f>SUM(C17:C24)</f>
        <v>59767.68</v>
      </c>
      <c r="D16" s="13">
        <f>SUM(D17:D24)</f>
        <v>76925.090000000011</v>
      </c>
      <c r="E16" s="13">
        <f t="shared" ref="E16:M16" si="13">SUM(E17:E24)</f>
        <v>115562.45000000001</v>
      </c>
      <c r="F16" s="13">
        <f t="shared" si="13"/>
        <v>57134.939999999995</v>
      </c>
      <c r="G16" s="13">
        <f t="shared" si="13"/>
        <v>57815.530000000006</v>
      </c>
      <c r="H16" s="13">
        <f t="shared" si="13"/>
        <v>76614.03</v>
      </c>
      <c r="I16" s="13">
        <f t="shared" si="13"/>
        <v>37682.330000000009</v>
      </c>
      <c r="J16" s="13">
        <f t="shared" si="13"/>
        <v>56332.470000000008</v>
      </c>
      <c r="K16" s="13">
        <f t="shared" si="13"/>
        <v>63640.47</v>
      </c>
      <c r="L16" s="13">
        <f t="shared" si="13"/>
        <v>71061.03</v>
      </c>
      <c r="M16" s="13">
        <f t="shared" si="13"/>
        <v>63900.340000000004</v>
      </c>
      <c r="N16" s="13">
        <f>SUM(B16:M16)</f>
        <v>795094.47</v>
      </c>
    </row>
    <row r="17" spans="1:15" ht="24" customHeight="1" thickBot="1" x14ac:dyDescent="0.3">
      <c r="A17" s="4" t="s">
        <v>29</v>
      </c>
      <c r="B17" s="11">
        <f>46494.07+355.86+0.61+955.02</f>
        <v>47805.56</v>
      </c>
      <c r="C17" s="11">
        <f>51031.24+400.29+0.27+1075.62</f>
        <v>52507.42</v>
      </c>
      <c r="D17" s="11">
        <f>48673.16+574.99+1546.19</f>
        <v>50794.340000000004</v>
      </c>
      <c r="E17" s="11">
        <f>93359.36+805.08+86.97+1736.41</f>
        <v>95987.82</v>
      </c>
      <c r="F17" s="11">
        <f>48929.52+438.86+1184.18</f>
        <v>50552.56</v>
      </c>
      <c r="G17" s="11">
        <f>51063.73+391.34+1053.68</f>
        <v>52508.75</v>
      </c>
      <c r="H17" s="11">
        <f>69926.98+418.24+1126.78</f>
        <v>71472</v>
      </c>
      <c r="I17" s="11">
        <f>31915.07+363.83+978.98</f>
        <v>33257.880000000005</v>
      </c>
      <c r="J17" s="11">
        <f>48869.01+402.88+1085</f>
        <v>50356.89</v>
      </c>
      <c r="K17" s="11">
        <f>55648.3+486.92+1324.71</f>
        <v>57459.93</v>
      </c>
      <c r="L17" s="11">
        <f>61072.96+442.23+1174.59</f>
        <v>62689.78</v>
      </c>
      <c r="M17" s="11">
        <f>53613.42+394.24+995.4</f>
        <v>55003.06</v>
      </c>
      <c r="N17" s="11">
        <f>SUM(B17:M17)</f>
        <v>680395.99</v>
      </c>
    </row>
    <row r="18" spans="1:15" ht="26.25" customHeight="1" thickBot="1" x14ac:dyDescent="0.3">
      <c r="A18" s="4" t="s">
        <v>17</v>
      </c>
      <c r="B18" s="11">
        <v>4744.46</v>
      </c>
      <c r="C18" s="11">
        <v>509.37</v>
      </c>
      <c r="D18" s="11">
        <v>11809.87</v>
      </c>
      <c r="E18" s="11">
        <v>4568.68</v>
      </c>
      <c r="F18" s="11">
        <v>1535.52</v>
      </c>
      <c r="G18" s="11">
        <v>342.09</v>
      </c>
      <c r="H18" s="11">
        <v>153.01</v>
      </c>
      <c r="I18" s="11">
        <v>3.06</v>
      </c>
      <c r="J18" s="11">
        <v>1678.5</v>
      </c>
      <c r="K18" s="11">
        <v>675.71</v>
      </c>
      <c r="L18" s="11">
        <v>1761.12</v>
      </c>
      <c r="M18" s="11">
        <v>4744.7700000000004</v>
      </c>
      <c r="N18" s="11">
        <f t="shared" ref="N18:N24" si="14">SUM(B18:M18)</f>
        <v>32526.16</v>
      </c>
    </row>
    <row r="19" spans="1:15" ht="26.25" customHeight="1" thickBot="1" x14ac:dyDescent="0.3">
      <c r="A19" s="4" t="s">
        <v>18</v>
      </c>
      <c r="B19" s="11">
        <v>323.70999999999998</v>
      </c>
      <c r="C19" s="11">
        <v>41.4</v>
      </c>
      <c r="D19" s="11">
        <v>2420.87</v>
      </c>
      <c r="E19" s="11">
        <v>458.3</v>
      </c>
      <c r="F19" s="11">
        <v>6.72</v>
      </c>
      <c r="G19" s="11">
        <v>35.22</v>
      </c>
      <c r="H19" s="11">
        <v>7.71</v>
      </c>
      <c r="I19" s="11">
        <v>5.01</v>
      </c>
      <c r="J19" s="11">
        <v>4.4800000000000004</v>
      </c>
      <c r="K19" s="11">
        <v>10.45</v>
      </c>
      <c r="L19" s="11">
        <v>0</v>
      </c>
      <c r="M19" s="11">
        <v>0</v>
      </c>
      <c r="N19" s="11">
        <f t="shared" si="14"/>
        <v>3313.87</v>
      </c>
    </row>
    <row r="20" spans="1:15" ht="24" customHeight="1" thickBot="1" x14ac:dyDescent="0.3">
      <c r="A20" s="4" t="s">
        <v>19</v>
      </c>
      <c r="B20" s="11">
        <v>1765.6</v>
      </c>
      <c r="C20" s="11">
        <v>2352.5300000000002</v>
      </c>
      <c r="D20" s="11">
        <v>7712</v>
      </c>
      <c r="E20" s="11">
        <v>8959.8799999999992</v>
      </c>
      <c r="F20" s="11">
        <v>639.21</v>
      </c>
      <c r="G20" s="11">
        <v>338.69</v>
      </c>
      <c r="H20" s="11">
        <v>467.23</v>
      </c>
      <c r="I20" s="11">
        <v>579.03</v>
      </c>
      <c r="J20" s="11">
        <v>80.11</v>
      </c>
      <c r="K20" s="11">
        <v>164.08</v>
      </c>
      <c r="L20" s="11">
        <v>39.28</v>
      </c>
      <c r="M20" s="11">
        <v>0</v>
      </c>
      <c r="N20" s="11">
        <f t="shared" si="14"/>
        <v>23097.64</v>
      </c>
    </row>
    <row r="21" spans="1:15" ht="24" customHeight="1" thickBot="1" x14ac:dyDescent="0.3">
      <c r="A21" s="4" t="s">
        <v>26</v>
      </c>
      <c r="B21" s="11">
        <v>3049.59</v>
      </c>
      <c r="C21" s="11">
        <v>3366.97</v>
      </c>
      <c r="D21" s="11">
        <v>3308.61</v>
      </c>
      <c r="E21" s="11">
        <v>4472.08</v>
      </c>
      <c r="F21" s="11">
        <v>3520.07</v>
      </c>
      <c r="G21" s="11">
        <v>3697.62</v>
      </c>
      <c r="H21" s="11">
        <v>3510.83</v>
      </c>
      <c r="I21" s="11">
        <v>3064.23</v>
      </c>
      <c r="J21" s="11">
        <v>3327.09</v>
      </c>
      <c r="K21" s="11">
        <v>4405.4399999999996</v>
      </c>
      <c r="L21" s="11">
        <v>5646.68</v>
      </c>
      <c r="M21" s="11">
        <v>3273.61</v>
      </c>
      <c r="N21" s="11">
        <f t="shared" si="14"/>
        <v>44642.82</v>
      </c>
    </row>
    <row r="22" spans="1:15" ht="24" customHeight="1" thickBot="1" x14ac:dyDescent="0.3">
      <c r="A22" s="4" t="s">
        <v>27</v>
      </c>
      <c r="B22" s="11">
        <v>269.19</v>
      </c>
      <c r="C22" s="11">
        <v>303.2</v>
      </c>
      <c r="D22" s="11">
        <v>279.39999999999998</v>
      </c>
      <c r="E22" s="11">
        <v>515.69000000000005</v>
      </c>
      <c r="F22" s="11">
        <v>280.86</v>
      </c>
      <c r="G22" s="11">
        <v>293.16000000000003</v>
      </c>
      <c r="H22" s="11">
        <v>403.24</v>
      </c>
      <c r="I22" s="11">
        <v>172.79</v>
      </c>
      <c r="J22" s="11">
        <v>285.39999999999998</v>
      </c>
      <c r="K22" s="11">
        <v>324.86</v>
      </c>
      <c r="L22" s="11">
        <v>323.26</v>
      </c>
      <c r="M22" s="11">
        <v>278.89</v>
      </c>
      <c r="N22" s="11">
        <f t="shared" si="14"/>
        <v>3729.94</v>
      </c>
    </row>
    <row r="23" spans="1:15" ht="24" customHeight="1" thickBot="1" x14ac:dyDescent="0.3">
      <c r="A23" s="4" t="s">
        <v>28</v>
      </c>
      <c r="B23" s="11">
        <v>100</v>
      </c>
      <c r="C23" s="11">
        <v>86.79</v>
      </c>
      <c r="D23" s="11">
        <v>0</v>
      </c>
      <c r="E23" s="11">
        <v>0</v>
      </c>
      <c r="F23" s="11">
        <v>0</v>
      </c>
      <c r="G23" s="11">
        <v>0</v>
      </c>
      <c r="H23" s="11">
        <v>0.01</v>
      </c>
      <c r="I23" s="11">
        <v>0.33</v>
      </c>
      <c r="J23" s="11">
        <v>0</v>
      </c>
      <c r="K23" s="11">
        <v>0</v>
      </c>
      <c r="L23" s="11">
        <v>0.91</v>
      </c>
      <c r="M23" s="11">
        <v>0.01</v>
      </c>
      <c r="N23" s="11">
        <f t="shared" si="14"/>
        <v>188.05</v>
      </c>
    </row>
    <row r="24" spans="1:15" ht="21" customHeight="1" thickBot="1" x14ac:dyDescent="0.3">
      <c r="A24" s="4" t="s">
        <v>15</v>
      </c>
      <c r="B24" s="14">
        <v>600</v>
      </c>
      <c r="C24" s="14">
        <v>600</v>
      </c>
      <c r="D24" s="14">
        <v>600</v>
      </c>
      <c r="E24" s="14">
        <v>600</v>
      </c>
      <c r="F24" s="14">
        <v>600</v>
      </c>
      <c r="G24" s="14">
        <v>600</v>
      </c>
      <c r="H24" s="11">
        <v>600</v>
      </c>
      <c r="I24" s="11">
        <v>600</v>
      </c>
      <c r="J24" s="11">
        <v>600</v>
      </c>
      <c r="K24" s="11">
        <v>600</v>
      </c>
      <c r="L24" s="11">
        <v>600</v>
      </c>
      <c r="M24" s="11">
        <v>600</v>
      </c>
      <c r="N24" s="11">
        <f t="shared" si="14"/>
        <v>7200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F26" si="15">3390*0.55</f>
        <v>1864.5000000000002</v>
      </c>
      <c r="C26" s="11">
        <f t="shared" si="15"/>
        <v>1864.5000000000002</v>
      </c>
      <c r="D26" s="11">
        <f t="shared" si="15"/>
        <v>1864.5000000000002</v>
      </c>
      <c r="E26" s="11">
        <f t="shared" si="15"/>
        <v>1864.5000000000002</v>
      </c>
      <c r="F26" s="11">
        <f t="shared" si="15"/>
        <v>1864.5000000000002</v>
      </c>
      <c r="G26" s="11">
        <f>3390*0.55</f>
        <v>1864.5000000000002</v>
      </c>
      <c r="H26" s="11">
        <f t="shared" ref="H26:M26" si="16">3390*0.55</f>
        <v>1864.5000000000002</v>
      </c>
      <c r="I26" s="11">
        <f t="shared" si="16"/>
        <v>1864.5000000000002</v>
      </c>
      <c r="J26" s="11">
        <f t="shared" si="16"/>
        <v>1864.5000000000002</v>
      </c>
      <c r="K26" s="11">
        <f t="shared" si="16"/>
        <v>1864.5000000000002</v>
      </c>
      <c r="L26" s="11">
        <f t="shared" si="16"/>
        <v>1864.5000000000002</v>
      </c>
      <c r="M26" s="11">
        <f t="shared" si="16"/>
        <v>1864.5000000000002</v>
      </c>
      <c r="N26" s="11">
        <f>SUM(B26:M26)</f>
        <v>22374.000000000004</v>
      </c>
    </row>
    <row r="27" spans="1:15" ht="22.5" customHeight="1" thickBot="1" x14ac:dyDescent="0.3">
      <c r="A27" s="4" t="s">
        <v>2</v>
      </c>
      <c r="B27" s="11">
        <f t="shared" ref="B27:M27" si="17">3390*0.17</f>
        <v>576.30000000000007</v>
      </c>
      <c r="C27" s="11">
        <f t="shared" si="17"/>
        <v>576.30000000000007</v>
      </c>
      <c r="D27" s="11">
        <f t="shared" si="17"/>
        <v>576.30000000000007</v>
      </c>
      <c r="E27" s="11">
        <f t="shared" si="17"/>
        <v>576.30000000000007</v>
      </c>
      <c r="F27" s="11">
        <f t="shared" si="17"/>
        <v>576.30000000000007</v>
      </c>
      <c r="G27" s="11">
        <f t="shared" si="17"/>
        <v>576.30000000000007</v>
      </c>
      <c r="H27" s="11">
        <f t="shared" si="17"/>
        <v>576.30000000000007</v>
      </c>
      <c r="I27" s="11">
        <f t="shared" si="17"/>
        <v>576.30000000000007</v>
      </c>
      <c r="J27" s="21">
        <f t="shared" si="17"/>
        <v>576.30000000000007</v>
      </c>
      <c r="K27" s="21">
        <f t="shared" si="17"/>
        <v>576.30000000000007</v>
      </c>
      <c r="L27" s="21">
        <f t="shared" si="17"/>
        <v>576.30000000000007</v>
      </c>
      <c r="M27" s="21">
        <f t="shared" si="17"/>
        <v>576.30000000000007</v>
      </c>
      <c r="N27" s="11">
        <f t="shared" ref="N27:N39" si="18">SUM(B27:M27)</f>
        <v>6915.6000000000013</v>
      </c>
    </row>
    <row r="28" spans="1:15" ht="21" customHeight="1" thickBot="1" x14ac:dyDescent="0.3">
      <c r="A28" s="4" t="s">
        <v>3</v>
      </c>
      <c r="B28" s="11">
        <f>61089.39*2.3%</f>
        <v>1405.0559699999999</v>
      </c>
      <c r="C28" s="11">
        <f>84131.15*2.3%</f>
        <v>1935.0164499999998</v>
      </c>
      <c r="D28" s="11">
        <f>70288.22*2.3%</f>
        <v>1616.62906</v>
      </c>
      <c r="E28" s="11">
        <f>60106.88*2.3%</f>
        <v>1382.4582399999999</v>
      </c>
      <c r="F28" s="11">
        <f>58549.7*2.3%</f>
        <v>1346.6431</v>
      </c>
      <c r="G28" s="11">
        <f>82014.41*2.3%</f>
        <v>1886.33143</v>
      </c>
      <c r="H28" s="11">
        <f>36192.88*2.3%</f>
        <v>832.43623999999988</v>
      </c>
      <c r="I28" s="11">
        <f>60475.3*2.3%</f>
        <v>1390.9319</v>
      </c>
      <c r="J28" s="11">
        <f>59066.06*2.3%</f>
        <v>1358.51938</v>
      </c>
      <c r="K28" s="11">
        <f>61330.85*2.3%</f>
        <v>1410.6095499999999</v>
      </c>
      <c r="L28" s="11">
        <f>70481.52*2.3%</f>
        <v>1621.0749600000001</v>
      </c>
      <c r="M28" s="11">
        <f>73624.56*2.3%</f>
        <v>1693.3648799999999</v>
      </c>
      <c r="N28" s="11">
        <f t="shared" si="18"/>
        <v>17879.071159999996</v>
      </c>
    </row>
    <row r="29" spans="1:15" ht="23.25" customHeight="1" thickBot="1" x14ac:dyDescent="0.3">
      <c r="A29" s="4" t="s">
        <v>4</v>
      </c>
      <c r="B29" s="11">
        <f>58058.11*3%</f>
        <v>1741.7432999999999</v>
      </c>
      <c r="C29" s="11">
        <f>59167.68*3%</f>
        <v>1775.0303999999999</v>
      </c>
      <c r="D29" s="11">
        <f>76325.09*3%</f>
        <v>2289.7527</v>
      </c>
      <c r="E29" s="11">
        <f>114962.45*3%</f>
        <v>3448.8734999999997</v>
      </c>
      <c r="F29" s="11">
        <f>56534.94*3%</f>
        <v>1696.0482</v>
      </c>
      <c r="G29" s="11">
        <f>57215.53*3%</f>
        <v>1716.4658999999999</v>
      </c>
      <c r="H29" s="11">
        <f>76014.03*3%</f>
        <v>2280.4209000000001</v>
      </c>
      <c r="I29" s="11">
        <f>37082.33*3%</f>
        <v>1112.4699000000001</v>
      </c>
      <c r="J29" s="11">
        <f>55732.47*3%</f>
        <v>1671.9740999999999</v>
      </c>
      <c r="K29" s="11">
        <f>63040.47*3%</f>
        <v>1891.2140999999999</v>
      </c>
      <c r="L29" s="11">
        <f>70461.03*3%</f>
        <v>2113.8308999999999</v>
      </c>
      <c r="M29" s="11">
        <f>63300.34*3%</f>
        <v>1899.0101999999997</v>
      </c>
      <c r="N29" s="11">
        <f t="shared" si="18"/>
        <v>23636.8341</v>
      </c>
    </row>
    <row r="30" spans="1:15" ht="23.25" customHeight="1" thickBot="1" x14ac:dyDescent="0.3">
      <c r="A30" s="4" t="s">
        <v>9</v>
      </c>
      <c r="B30" s="11">
        <v>25086</v>
      </c>
      <c r="C30" s="11">
        <v>25086</v>
      </c>
      <c r="D30" s="11">
        <v>25086</v>
      </c>
      <c r="E30" s="11">
        <v>25086</v>
      </c>
      <c r="F30" s="11">
        <v>25086</v>
      </c>
      <c r="G30" s="11">
        <v>25086</v>
      </c>
      <c r="H30" s="11">
        <v>25086</v>
      </c>
      <c r="I30" s="11">
        <v>25086</v>
      </c>
      <c r="J30" s="11">
        <v>25086</v>
      </c>
      <c r="K30" s="21">
        <f>3390*8.5</f>
        <v>28815</v>
      </c>
      <c r="L30" s="21">
        <f t="shared" ref="L30:M30" si="19">3390*8.5</f>
        <v>28815</v>
      </c>
      <c r="M30" s="21">
        <f t="shared" si="19"/>
        <v>28815</v>
      </c>
      <c r="N30" s="11">
        <f t="shared" si="18"/>
        <v>312219</v>
      </c>
    </row>
    <row r="31" spans="1:15" ht="26.25" customHeight="1" thickBot="1" x14ac:dyDescent="0.3">
      <c r="A31" s="4" t="s">
        <v>20</v>
      </c>
      <c r="B31" s="11">
        <f>12179.18+1655.43</f>
        <v>13834.61</v>
      </c>
      <c r="C31" s="11">
        <f>2497.37+339.42</f>
        <v>2836.79</v>
      </c>
      <c r="D31" s="11">
        <f>1370.82+186.35</f>
        <v>1557.1699999999998</v>
      </c>
      <c r="E31" s="11">
        <v>0</v>
      </c>
      <c r="F31" s="11">
        <v>0</v>
      </c>
      <c r="G31" s="11">
        <v>0</v>
      </c>
      <c r="H31" s="11">
        <f>1919.6+0</f>
        <v>1919.6</v>
      </c>
      <c r="I31" s="11">
        <f>489.24+21.76</f>
        <v>511</v>
      </c>
      <c r="J31" s="11">
        <f>1657.11+231.24</f>
        <v>1888.35</v>
      </c>
      <c r="K31" s="11">
        <f>4754.45+663.16</f>
        <v>5417.61</v>
      </c>
      <c r="L31" s="11">
        <f>7488.46+1071.43</f>
        <v>8559.89</v>
      </c>
      <c r="M31" s="11">
        <f>6398.84+868.31</f>
        <v>7267.15</v>
      </c>
      <c r="N31" s="11">
        <f t="shared" si="18"/>
        <v>43792.17</v>
      </c>
    </row>
    <row r="32" spans="1:15" ht="26.25" customHeight="1" thickBot="1" x14ac:dyDescent="0.3">
      <c r="A32" s="4" t="s">
        <v>21</v>
      </c>
      <c r="B32" s="11">
        <v>2845.54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 t="shared" si="18"/>
        <v>2845.54</v>
      </c>
    </row>
    <row r="33" spans="1:14" ht="26.25" customHeight="1" thickBot="1" x14ac:dyDescent="0.3">
      <c r="A33" s="4" t="s">
        <v>22</v>
      </c>
      <c r="B33" s="11">
        <v>8901.75</v>
      </c>
      <c r="C33" s="11">
        <v>8901.75</v>
      </c>
      <c r="D33" s="11">
        <v>0</v>
      </c>
      <c r="E33" s="11">
        <v>0</v>
      </c>
      <c r="F33" s="11">
        <v>0</v>
      </c>
      <c r="G33" s="11">
        <v>1102.53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18"/>
        <v>18906.03</v>
      </c>
    </row>
    <row r="34" spans="1:14" ht="26.25" customHeight="1" thickBot="1" x14ac:dyDescent="0.3">
      <c r="A34" s="4" t="s">
        <v>27</v>
      </c>
      <c r="B34" s="11">
        <v>303.83999999999997</v>
      </c>
      <c r="C34" s="11">
        <v>303.83999999999997</v>
      </c>
      <c r="D34" s="11">
        <v>303.83999999999997</v>
      </c>
      <c r="E34" s="11">
        <v>303.83999999999997</v>
      </c>
      <c r="F34" s="11">
        <v>303.83999999999997</v>
      </c>
      <c r="G34" s="11">
        <v>303.83999999999997</v>
      </c>
      <c r="H34" s="11">
        <v>309.29000000000002</v>
      </c>
      <c r="I34" s="11">
        <v>309.29000000000002</v>
      </c>
      <c r="J34" s="11">
        <v>309.29000000000002</v>
      </c>
      <c r="K34" s="11">
        <v>309.29000000000002</v>
      </c>
      <c r="L34" s="11">
        <v>309.29000000000002</v>
      </c>
      <c r="M34" s="11">
        <v>309.29000000000002</v>
      </c>
      <c r="N34" s="11">
        <f t="shared" si="18"/>
        <v>3678.7799999999997</v>
      </c>
    </row>
    <row r="35" spans="1:14" ht="22.5" customHeight="1" thickBot="1" x14ac:dyDescent="0.3">
      <c r="A35" s="4" t="s">
        <v>6</v>
      </c>
      <c r="B35" s="11">
        <f>3390*2.34</f>
        <v>7932.5999999999995</v>
      </c>
      <c r="C35" s="11">
        <f t="shared" ref="C35:J35" si="20">3390*2.34</f>
        <v>7932.5999999999995</v>
      </c>
      <c r="D35" s="11">
        <f t="shared" si="20"/>
        <v>7932.5999999999995</v>
      </c>
      <c r="E35" s="11">
        <f t="shared" si="20"/>
        <v>7932.5999999999995</v>
      </c>
      <c r="F35" s="11">
        <f t="shared" si="20"/>
        <v>7932.5999999999995</v>
      </c>
      <c r="G35" s="11">
        <f t="shared" si="20"/>
        <v>7932.5999999999995</v>
      </c>
      <c r="H35" s="11">
        <f t="shared" si="20"/>
        <v>7932.5999999999995</v>
      </c>
      <c r="I35" s="11">
        <f t="shared" si="20"/>
        <v>7932.5999999999995</v>
      </c>
      <c r="J35" s="11">
        <f t="shared" si="20"/>
        <v>7932.5999999999995</v>
      </c>
      <c r="K35" s="11">
        <f>3390*2.63</f>
        <v>8915.6999999999989</v>
      </c>
      <c r="L35" s="11">
        <f t="shared" ref="L35:M35" si="21">3390*2.63</f>
        <v>8915.6999999999989</v>
      </c>
      <c r="M35" s="11">
        <f t="shared" si="21"/>
        <v>8915.6999999999989</v>
      </c>
      <c r="N35" s="11">
        <f t="shared" si="18"/>
        <v>98140.499999999985</v>
      </c>
    </row>
    <row r="36" spans="1:14" ht="21.75" customHeight="1" thickBot="1" x14ac:dyDescent="0.3">
      <c r="A36" s="4" t="s">
        <v>26</v>
      </c>
      <c r="B36" s="11">
        <v>3110</v>
      </c>
      <c r="C36" s="11">
        <v>3050</v>
      </c>
      <c r="D36" s="11">
        <v>3515</v>
      </c>
      <c r="E36" s="11">
        <v>3600</v>
      </c>
      <c r="F36" s="11">
        <v>3965</v>
      </c>
      <c r="G36" s="11">
        <v>3352</v>
      </c>
      <c r="H36" s="11">
        <v>3140</v>
      </c>
      <c r="I36" s="11">
        <v>2850</v>
      </c>
      <c r="J36" s="11">
        <v>3250</v>
      </c>
      <c r="K36" s="11">
        <v>4170</v>
      </c>
      <c r="L36" s="11">
        <v>3450</v>
      </c>
      <c r="M36" s="11">
        <v>4895</v>
      </c>
      <c r="N36" s="11">
        <f t="shared" si="18"/>
        <v>42347</v>
      </c>
    </row>
    <row r="37" spans="1:14" ht="22.8" customHeight="1" thickBot="1" x14ac:dyDescent="0.3">
      <c r="A37" s="4" t="s">
        <v>25</v>
      </c>
      <c r="B37" s="11">
        <f>420+1140</f>
        <v>1560</v>
      </c>
      <c r="C37" s="11">
        <f t="shared" ref="C37:H37" si="22">1140+420</f>
        <v>1560</v>
      </c>
      <c r="D37" s="11">
        <f t="shared" si="22"/>
        <v>1560</v>
      </c>
      <c r="E37" s="11">
        <f t="shared" si="22"/>
        <v>1560</v>
      </c>
      <c r="F37" s="11">
        <f t="shared" si="22"/>
        <v>1560</v>
      </c>
      <c r="G37" s="11">
        <f t="shared" si="22"/>
        <v>1560</v>
      </c>
      <c r="H37" s="11">
        <f t="shared" si="22"/>
        <v>1560</v>
      </c>
      <c r="I37" s="11">
        <f>1140+420</f>
        <v>1560</v>
      </c>
      <c r="J37" s="11">
        <f>1140+420</f>
        <v>1560</v>
      </c>
      <c r="K37" s="11">
        <f>1140+420</f>
        <v>1560</v>
      </c>
      <c r="L37" s="11">
        <f>1140+420</f>
        <v>1560</v>
      </c>
      <c r="M37" s="11">
        <f>1140+420</f>
        <v>1560</v>
      </c>
      <c r="N37" s="11">
        <f t="shared" si="18"/>
        <v>18720</v>
      </c>
    </row>
    <row r="38" spans="1:14" ht="24.75" customHeight="1" thickBot="1" x14ac:dyDescent="0.3">
      <c r="A38" s="4" t="s">
        <v>14</v>
      </c>
      <c r="B38" s="11">
        <v>0</v>
      </c>
      <c r="C38" s="11">
        <f>14608.94</f>
        <v>14608.94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 t="shared" si="18"/>
        <v>14608.94</v>
      </c>
    </row>
    <row r="39" spans="1:14" ht="24" customHeight="1" thickBot="1" x14ac:dyDescent="0.3">
      <c r="A39" s="4" t="s">
        <v>10</v>
      </c>
      <c r="B39" s="11">
        <f>75+10536</f>
        <v>10611</v>
      </c>
      <c r="C39" s="11">
        <f>1770</f>
        <v>1770</v>
      </c>
      <c r="D39" s="11">
        <v>0</v>
      </c>
      <c r="E39" s="11">
        <f>1258.3+1663.6</f>
        <v>2921.8999999999996</v>
      </c>
      <c r="F39" s="11">
        <f>255765.82</f>
        <v>255765.82</v>
      </c>
      <c r="G39" s="11">
        <f>28500+130</f>
        <v>28630</v>
      </c>
      <c r="H39" s="11">
        <f>95</f>
        <v>95</v>
      </c>
      <c r="I39" s="11">
        <v>0</v>
      </c>
      <c r="J39" s="11">
        <f>1306.3+9403.85</f>
        <v>10710.15</v>
      </c>
      <c r="K39" s="11">
        <v>0</v>
      </c>
      <c r="L39" s="11">
        <f>12174.75</f>
        <v>12174.75</v>
      </c>
      <c r="M39" s="11">
        <f>3932.4</f>
        <v>3932.4</v>
      </c>
      <c r="N39" s="11">
        <f t="shared" si="18"/>
        <v>326611.02000000008</v>
      </c>
    </row>
    <row r="40" spans="1:14" ht="22.5" customHeight="1" thickBot="1" x14ac:dyDescent="0.3">
      <c r="A40" s="9" t="s">
        <v>23</v>
      </c>
      <c r="B40" s="10">
        <f t="shared" ref="B40:M40" si="23">SUM(B26:B39)</f>
        <v>79772.939270000003</v>
      </c>
      <c r="C40" s="10">
        <f t="shared" si="23"/>
        <v>72200.76685</v>
      </c>
      <c r="D40" s="10">
        <f t="shared" si="23"/>
        <v>46301.791759999993</v>
      </c>
      <c r="E40" s="10">
        <f t="shared" si="23"/>
        <v>48676.471740000001</v>
      </c>
      <c r="F40" s="10">
        <f t="shared" si="23"/>
        <v>300096.7513</v>
      </c>
      <c r="G40" s="10">
        <f t="shared" si="23"/>
        <v>74010.567329999991</v>
      </c>
      <c r="H40" s="10">
        <f t="shared" si="23"/>
        <v>45596.147139999994</v>
      </c>
      <c r="I40" s="10">
        <f t="shared" si="23"/>
        <v>43193.091800000002</v>
      </c>
      <c r="J40" s="10">
        <f t="shared" si="23"/>
        <v>56207.68348</v>
      </c>
      <c r="K40" s="10">
        <f t="shared" si="23"/>
        <v>54930.22365</v>
      </c>
      <c r="L40" s="10">
        <f t="shared" si="23"/>
        <v>69960.335859999992</v>
      </c>
      <c r="M40" s="10">
        <f t="shared" si="23"/>
        <v>61727.715080000002</v>
      </c>
      <c r="N40" s="10">
        <f>SUM(B40:M40)</f>
        <v>952674.48525999999</v>
      </c>
    </row>
    <row r="41" spans="1:14" ht="23.25" customHeight="1" thickBot="1" x14ac:dyDescent="0.3">
      <c r="A41" s="4" t="s">
        <v>5</v>
      </c>
      <c r="B41" s="18">
        <f t="shared" ref="B41:N41" si="24">B16-B40</f>
        <v>-21114.829270000002</v>
      </c>
      <c r="C41" s="18">
        <f t="shared" si="24"/>
        <v>-12433.08685</v>
      </c>
      <c r="D41" s="18">
        <f t="shared" si="24"/>
        <v>30623.298240000018</v>
      </c>
      <c r="E41" s="18">
        <f t="shared" si="24"/>
        <v>66885.978260000004</v>
      </c>
      <c r="F41" s="18">
        <f t="shared" si="24"/>
        <v>-242961.8113</v>
      </c>
      <c r="G41" s="18">
        <f t="shared" si="24"/>
        <v>-16195.037329999985</v>
      </c>
      <c r="H41" s="18">
        <f t="shared" si="24"/>
        <v>31017.882860000005</v>
      </c>
      <c r="I41" s="18">
        <f t="shared" si="24"/>
        <v>-5510.7617999999929</v>
      </c>
      <c r="J41" s="18">
        <f t="shared" si="24"/>
        <v>124.78652000000875</v>
      </c>
      <c r="K41" s="18">
        <f t="shared" si="24"/>
        <v>8710.2463500000013</v>
      </c>
      <c r="L41" s="18">
        <f t="shared" si="24"/>
        <v>1100.6941400000069</v>
      </c>
      <c r="M41" s="18">
        <f t="shared" si="24"/>
        <v>2172.624920000002</v>
      </c>
      <c r="N41" s="11">
        <f t="shared" si="24"/>
        <v>-157580.01526000001</v>
      </c>
    </row>
    <row r="42" spans="1:14" ht="23.25" customHeight="1" thickBot="1" x14ac:dyDescent="0.3">
      <c r="A42" s="4" t="s">
        <v>7</v>
      </c>
      <c r="B42" s="14">
        <f>B5+B41</f>
        <v>-444992.66927000001</v>
      </c>
      <c r="C42" s="19">
        <f>B42+C41</f>
        <v>-457425.75612000003</v>
      </c>
      <c r="D42" s="19">
        <f>C42+D41</f>
        <v>-426802.45788</v>
      </c>
      <c r="E42" s="19">
        <f t="shared" ref="E42:G42" si="25">D42+E41</f>
        <v>-359916.47962</v>
      </c>
      <c r="F42" s="19">
        <f t="shared" si="25"/>
        <v>-602878.29092000006</v>
      </c>
      <c r="G42" s="19">
        <f t="shared" si="25"/>
        <v>-619073.32825000002</v>
      </c>
      <c r="H42" s="19">
        <f t="shared" ref="H42" si="26">G42+H41</f>
        <v>-588055.44539000001</v>
      </c>
      <c r="I42" s="19">
        <f>H42+I41</f>
        <v>-593566.20718999999</v>
      </c>
      <c r="J42" s="19">
        <f t="shared" ref="J42" si="27">I42+J41</f>
        <v>-593441.42067000002</v>
      </c>
      <c r="K42" s="19">
        <f t="shared" ref="K42" si="28">J42+K41</f>
        <v>-584731.17431999999</v>
      </c>
      <c r="L42" s="19">
        <f t="shared" ref="L42" si="29">K42+L41</f>
        <v>-583630.48017999995</v>
      </c>
      <c r="M42" s="19">
        <f t="shared" ref="M42" si="30">L42+M41</f>
        <v>-581457.85525999998</v>
      </c>
      <c r="N42" s="11">
        <f>N5+N41</f>
        <v>-581457.8552600001</v>
      </c>
    </row>
    <row r="43" spans="1:14" ht="27" customHeight="1" thickBot="1" x14ac:dyDescent="0.3">
      <c r="A43" s="15" t="s">
        <v>11</v>
      </c>
      <c r="B43" s="20">
        <f>B6+B16-B7</f>
        <v>-213507.79999999996</v>
      </c>
      <c r="C43" s="20">
        <f>C6+C16-C7</f>
        <v>-238471.26999999996</v>
      </c>
      <c r="D43" s="20">
        <f>D6+D16-D7</f>
        <v>-232434.39999999991</v>
      </c>
      <c r="E43" s="20">
        <f t="shared" ref="E43:M43" si="31">E6+E16-E7</f>
        <v>-177578.8299999999</v>
      </c>
      <c r="F43" s="20">
        <f t="shared" si="31"/>
        <v>-179593.58999999988</v>
      </c>
      <c r="G43" s="20">
        <f t="shared" si="31"/>
        <v>-204392.46999999986</v>
      </c>
      <c r="H43" s="20">
        <f t="shared" si="31"/>
        <v>-164571.31999999986</v>
      </c>
      <c r="I43" s="20">
        <f t="shared" si="31"/>
        <v>-187964.28999999983</v>
      </c>
      <c r="J43" s="20">
        <f t="shared" si="31"/>
        <v>-191297.87999999983</v>
      </c>
      <c r="K43" s="20">
        <f t="shared" si="31"/>
        <v>-189588.25999999983</v>
      </c>
      <c r="L43" s="20">
        <f t="shared" si="31"/>
        <v>-189608.74999999983</v>
      </c>
      <c r="M43" s="20">
        <f t="shared" si="31"/>
        <v>-199932.96999999983</v>
      </c>
      <c r="N43" s="17">
        <f>N6+N16-N7</f>
        <v>-199932.96999999997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2022-03-14T06:39:54Z</cp:lastPrinted>
  <dcterms:created xsi:type="dcterms:W3CDTF">2011-06-06T03:25:48Z</dcterms:created>
  <dcterms:modified xsi:type="dcterms:W3CDTF">2022-03-14T06:47:46Z</dcterms:modified>
</cp:coreProperties>
</file>