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7496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20" i="1" l="1"/>
  <c r="M21" i="1"/>
  <c r="M12" i="1"/>
  <c r="L18" i="1"/>
  <c r="L21" i="1"/>
  <c r="L11" i="1"/>
  <c r="L12" i="1"/>
  <c r="K21" i="1"/>
  <c r="K9" i="1"/>
  <c r="K12" i="1"/>
  <c r="M38" i="1" l="1"/>
  <c r="K38" i="1" l="1"/>
  <c r="L38" i="1" l="1"/>
  <c r="M36" i="1" l="1"/>
  <c r="L36" i="1" l="1"/>
  <c r="K36" i="1" l="1"/>
  <c r="M28" i="1" l="1"/>
  <c r="M16" i="1"/>
  <c r="M27" i="1"/>
  <c r="M7" i="1"/>
  <c r="L28" i="1" l="1"/>
  <c r="L16" i="1"/>
  <c r="L27" i="1"/>
  <c r="L7" i="1"/>
  <c r="K28" i="1" l="1"/>
  <c r="K16" i="1"/>
  <c r="K27" i="1"/>
  <c r="G16" i="1"/>
  <c r="F16" i="1"/>
  <c r="E16" i="1"/>
  <c r="B16" i="1"/>
  <c r="K7" i="1"/>
  <c r="L34" i="1" l="1"/>
  <c r="M34" i="1"/>
  <c r="K34" i="1"/>
  <c r="L29" i="1"/>
  <c r="M29" i="1"/>
  <c r="K29" i="1"/>
  <c r="K26" i="1"/>
  <c r="L26" i="1"/>
  <c r="M26" i="1"/>
  <c r="K25" i="1"/>
  <c r="L25" i="1"/>
  <c r="M25" i="1"/>
  <c r="C6" i="1" l="1"/>
  <c r="D6" i="1"/>
  <c r="E6" i="1"/>
  <c r="F6" i="1"/>
  <c r="G6" i="1"/>
  <c r="H6" i="1"/>
  <c r="I6" i="1"/>
  <c r="J6" i="1"/>
  <c r="K6" i="1"/>
  <c r="L6" i="1"/>
  <c r="M6" i="1"/>
  <c r="B6" i="1"/>
  <c r="C15" i="1"/>
  <c r="D15" i="1"/>
  <c r="E15" i="1"/>
  <c r="F15" i="1"/>
  <c r="G15" i="1"/>
  <c r="H15" i="1"/>
  <c r="I15" i="1"/>
  <c r="J15" i="1"/>
  <c r="K15" i="1"/>
  <c r="L15" i="1"/>
  <c r="M15" i="1"/>
  <c r="B15" i="1"/>
  <c r="C39" i="1"/>
  <c r="D39" i="1"/>
  <c r="E39" i="1"/>
  <c r="F39" i="1"/>
  <c r="G39" i="1"/>
  <c r="H39" i="1"/>
  <c r="I39" i="1"/>
  <c r="J39" i="1"/>
  <c r="K39" i="1"/>
  <c r="L39" i="1"/>
  <c r="M39" i="1"/>
  <c r="B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3" i="1"/>
  <c r="N22" i="1"/>
  <c r="N21" i="1"/>
  <c r="N20" i="1"/>
  <c r="N19" i="1"/>
  <c r="N18" i="1"/>
  <c r="N17" i="1"/>
  <c r="N16" i="1"/>
  <c r="N14" i="1"/>
  <c r="N13" i="1"/>
  <c r="N12" i="1"/>
  <c r="N11" i="1"/>
  <c r="N10" i="1"/>
  <c r="N8" i="1"/>
  <c r="N7" i="1"/>
  <c r="H40" i="1" l="1"/>
  <c r="D40" i="1"/>
  <c r="J40" i="1"/>
  <c r="F40" i="1"/>
  <c r="I40" i="1"/>
  <c r="E40" i="1"/>
  <c r="G40" i="1"/>
  <c r="C40" i="1"/>
  <c r="M40" i="1"/>
  <c r="L40" i="1"/>
  <c r="K40" i="1"/>
  <c r="N6" i="1"/>
  <c r="N15" i="1"/>
  <c r="B40" i="1"/>
  <c r="N39" i="1"/>
  <c r="N40" i="1" l="1"/>
  <c r="N41" i="1" s="1"/>
  <c r="C34" i="1"/>
  <c r="D34" i="1"/>
  <c r="E34" i="1"/>
  <c r="F34" i="1"/>
  <c r="G34" i="1"/>
  <c r="H34" i="1"/>
  <c r="I34" i="1"/>
  <c r="J34" i="1"/>
  <c r="B34" i="1"/>
  <c r="J11" i="1" l="1"/>
  <c r="J12" i="1"/>
  <c r="I18" i="1"/>
  <c r="I20" i="1"/>
  <c r="I21" i="1"/>
  <c r="I11" i="1"/>
  <c r="I12" i="1"/>
  <c r="I17" i="1"/>
  <c r="H9" i="1"/>
  <c r="H11" i="1"/>
  <c r="H12" i="1"/>
  <c r="I38" i="1" l="1"/>
  <c r="J30" i="1" l="1"/>
  <c r="G38" i="1"/>
  <c r="J36" i="1" l="1"/>
  <c r="I36" i="1" l="1"/>
  <c r="H36" i="1" l="1"/>
  <c r="J28" i="1" l="1"/>
  <c r="J16" i="1"/>
  <c r="J27" i="1"/>
  <c r="J7" i="1"/>
  <c r="H38" i="1" l="1"/>
  <c r="I28" i="1" l="1"/>
  <c r="I16" i="1"/>
  <c r="I27" i="1"/>
  <c r="I7" i="1"/>
  <c r="H28" i="1" l="1"/>
  <c r="H16" i="1"/>
  <c r="H27" i="1"/>
  <c r="H7" i="1"/>
  <c r="H26" i="1" l="1"/>
  <c r="I26" i="1"/>
  <c r="J26" i="1"/>
  <c r="H25" i="1"/>
  <c r="I25" i="1"/>
  <c r="J25" i="1"/>
  <c r="G25" i="1"/>
  <c r="G20" i="1" l="1"/>
  <c r="G19" i="1"/>
  <c r="G21" i="1"/>
  <c r="G12" i="1"/>
  <c r="F11" i="1"/>
  <c r="F10" i="1"/>
  <c r="F12" i="1"/>
  <c r="E9" i="1"/>
  <c r="E10" i="1"/>
  <c r="E12" i="1"/>
  <c r="F38" i="1" l="1"/>
  <c r="E38" i="1" l="1"/>
  <c r="G28" i="1" l="1"/>
  <c r="G27" i="1"/>
  <c r="G7" i="1"/>
  <c r="F28" i="1" l="1"/>
  <c r="F27" i="1"/>
  <c r="F7" i="1"/>
  <c r="E28" i="1" l="1"/>
  <c r="E27" i="1"/>
  <c r="E7" i="1"/>
  <c r="E26" i="1" l="1"/>
  <c r="F26" i="1"/>
  <c r="G26" i="1"/>
  <c r="E25" i="1"/>
  <c r="F25" i="1"/>
  <c r="D20" i="1" l="1"/>
  <c r="D19" i="1"/>
  <c r="D21" i="1"/>
  <c r="D11" i="1"/>
  <c r="D10" i="1"/>
  <c r="D12" i="1"/>
  <c r="C11" i="1"/>
  <c r="C10" i="1"/>
  <c r="C12" i="1"/>
  <c r="B20" i="1"/>
  <c r="B19" i="1"/>
  <c r="B21" i="1"/>
  <c r="B11" i="1"/>
  <c r="B10" i="1"/>
  <c r="B12" i="1"/>
  <c r="D30" i="1" l="1"/>
  <c r="D38" i="1" l="1"/>
  <c r="B36" i="1" l="1"/>
  <c r="D28" i="1" l="1"/>
  <c r="D16" i="1"/>
  <c r="D27" i="1"/>
  <c r="D7" i="1"/>
  <c r="C38" i="1" l="1"/>
  <c r="C28" i="1" l="1"/>
  <c r="C16" i="1"/>
  <c r="C27" i="1"/>
  <c r="C7" i="1"/>
  <c r="B28" i="1" l="1"/>
  <c r="B27" i="1"/>
  <c r="B7" i="1"/>
  <c r="B38" i="1" l="1"/>
  <c r="C26" i="1" l="1"/>
  <c r="D26" i="1"/>
  <c r="C25" i="1"/>
  <c r="D25" i="1"/>
  <c r="B26" i="1"/>
  <c r="B25" i="1"/>
  <c r="N5" i="1" l="1"/>
  <c r="N9" i="1" l="1"/>
  <c r="B42" i="1" l="1"/>
  <c r="C5" i="1" s="1"/>
  <c r="C42" i="1" s="1"/>
  <c r="D5" i="1" s="1"/>
  <c r="D42" i="1" s="1"/>
  <c r="E5" i="1" l="1"/>
  <c r="E42" i="1" s="1"/>
  <c r="N42" i="1"/>
  <c r="F5" i="1" l="1"/>
  <c r="B41" i="1"/>
  <c r="C4" i="1" s="1"/>
  <c r="C41" i="1" s="1"/>
  <c r="D4" i="1" s="1"/>
  <c r="D41" i="1" s="1"/>
  <c r="E4" i="1" s="1"/>
  <c r="E41" i="1" s="1"/>
  <c r="F4" i="1" s="1"/>
  <c r="F41" i="1" s="1"/>
  <c r="G4" i="1" s="1"/>
  <c r="G41" i="1" s="1"/>
  <c r="H4" i="1" s="1"/>
  <c r="H41" i="1" s="1"/>
  <c r="I4" i="1" s="1"/>
  <c r="I41" i="1" s="1"/>
  <c r="J4" i="1" s="1"/>
  <c r="J41" i="1" s="1"/>
  <c r="K4" i="1" s="1"/>
  <c r="K41" i="1" s="1"/>
  <c r="L4" i="1" s="1"/>
  <c r="L41" i="1" s="1"/>
  <c r="M4" i="1" s="1"/>
  <c r="M41" i="1" s="1"/>
  <c r="F42" i="1" l="1"/>
  <c r="G5" i="1" s="1"/>
  <c r="G42" i="1" s="1"/>
  <c r="H5" i="1" s="1"/>
  <c r="H42" i="1" s="1"/>
  <c r="I5" i="1" l="1"/>
  <c r="I42" i="1" s="1"/>
  <c r="J5" i="1" l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<sst xmlns="http://schemas.openxmlformats.org/spreadsheetml/2006/main" count="54" uniqueCount="45">
  <si>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</si>
  <si>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</si>
  <si>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</si>
  <si>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</si>
  <si>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</si>
  <si>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</si>
  <si>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</si>
  <si>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</si>
  <si>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</si>
  <si>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</si>
  <si>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</si>
  <si>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</si>
  <si>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</si>
  <si>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</si>
  <si>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</si>
  <si>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</si>
  <si>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</si>
  <si>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</si>
  <si>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</si>
  <si>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</si>
  <si>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</si>
  <si>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</si>
  <si>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</si>
  <si>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</si>
  <si>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</si>
  <si>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</si>
  <si>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</si>
  <si>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Вознаграждение, координация с советом МКД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</si>
  <si>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</si>
  <si>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</si>
  <si>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</si>
  <si>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</si>
  <si>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</si>
  <si>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</si>
  <si>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</si>
  <si>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</si>
  <si>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</si>
  <si>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2021г.</t>
  </si>
  <si>
    <t>Ноябрь 2021г.</t>
  </si>
  <si>
    <t>Декабрь 2021г.</t>
  </si>
  <si>
    <t>Всего:                       за  2021г</t>
  </si>
  <si>
    <t>Средства на счете дома на начало периода</t>
  </si>
  <si>
    <t xml:space="preserve">                 ОТЧЕТ по дому Васильева, 3 за период 01.01.2021г. по 31.12.2021г.</t>
  </si>
  <si>
    <t xml:space="preserve">Содержание жилья и текущий ремонт, ОПУ </t>
  </si>
  <si>
    <t xml:space="preserve">Содержание жилья и текущий ремонт,  ОПУ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</si>
</sst>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0" xfId="0" applyBorder="1"/>
    <xf numFmtId="0" fontId="6" fillId="0" borderId="3" xfId="0" applyFont="1" applyBorder="1" applyAlignment="1">
      <alignment vertical="top" wrapText="1"/>
    </xf>
    <xf numFmtId="164" fontId="1" fillId="2" borderId="4" xfId="0" applyNumberFormat="1" applyFont="1" applyFill="1" applyBorder="1" applyAlignment="1">
      <alignment horizontal="left" vertical="top" wrapText="1"/>
    </xf>
    <xf numFmtId="164" fontId="1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1" fillId="4" borderId="4" xfId="0" applyNumberFormat="1" applyFont="1" applyFill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4" fontId="1" fillId="5" borderId="4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topLeftCell="A30" zoomScale="75" workbookViewId="0">
      <selection activeCell="A22" sqref="A22:XFD22"/>
    </sheetView>
  </sheetViews>
  <sheetFormatPr defaultRowHeight="13.2" x14ac:dyDescent="0.25"/>
  <cols>
    <col min="1" max="1" width="58.6640625" customWidth="1"/>
    <col min="2" max="2" width="16" customWidth="1"/>
    <col min="3" max="3" width="16.44140625" customWidth="1"/>
    <col min="4" max="5" width="16.109375" customWidth="1"/>
    <col min="6" max="6" width="15.5546875" customWidth="1"/>
    <col min="7" max="7" width="16.44140625" customWidth="1"/>
    <col min="8" max="8" width="15.6640625" customWidth="1"/>
    <col min="9" max="9" width="15.88671875" customWidth="1"/>
    <col min="10" max="10" width="15.6640625" customWidth="1"/>
    <col min="11" max="11" width="17.77734375" customWidth="1"/>
    <col min="12" max="13" width="15.6640625" customWidth="1"/>
    <col min="14" max="14" width="19.33203125" customWidth="1"/>
  </cols>
  <sheetData>
    <row r="1" spans="1:15" ht="21" customHeight="1" x14ac:dyDescent="0.35">
      <c r="A1" s="22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6.6" customHeight="1" thickBot="1" x14ac:dyDescent="0.3">
      <c r="A2" s="1"/>
    </row>
    <row r="3" spans="1:15" ht="40.799999999999997" customHeight="1" thickBot="1" x14ac:dyDescent="0.3">
      <c r="A3" s="2" t="s">
        <v>0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40</v>
      </c>
    </row>
    <row r="4" spans="1:15" s="20" customFormat="1" ht="28.8" customHeight="1" thickBot="1" x14ac:dyDescent="0.3">
      <c r="A4" s="18" t="s">
        <v>41</v>
      </c>
      <c r="B4" s="19">
        <v>-466437.66</v>
      </c>
      <c r="C4" s="19">
        <f>B41</f>
        <v>-466881.09568999999</v>
      </c>
      <c r="D4" s="19">
        <f t="shared" ref="D4:M4" si="0">C41</f>
        <v>-458074.38563999999</v>
      </c>
      <c r="E4" s="19">
        <f t="shared" si="0"/>
        <v>-448762.29827000003</v>
      </c>
      <c r="F4" s="19">
        <f t="shared" si="0"/>
        <v>-463467.63744000002</v>
      </c>
      <c r="G4" s="19">
        <f t="shared" si="0"/>
        <v>-576804.40443000011</v>
      </c>
      <c r="H4" s="19">
        <f t="shared" si="0"/>
        <v>-589500.43260000017</v>
      </c>
      <c r="I4" s="19">
        <f t="shared" si="0"/>
        <v>-584562.21954000019</v>
      </c>
      <c r="J4" s="19">
        <f t="shared" si="0"/>
        <v>-580693.05541000015</v>
      </c>
      <c r="K4" s="19">
        <f t="shared" si="0"/>
        <v>-563301.18756000011</v>
      </c>
      <c r="L4" s="19">
        <f t="shared" si="0"/>
        <v>-590721.23572000011</v>
      </c>
      <c r="M4" s="19">
        <f t="shared" si="0"/>
        <v>-582767.05521000014</v>
      </c>
      <c r="N4" s="19">
        <v>-466437.66</v>
      </c>
      <c r="O4" s="21"/>
    </row>
    <row r="5" spans="1:15" ht="31.2" customHeight="1" thickBot="1" x14ac:dyDescent="0.3">
      <c r="A5" s="4" t="s">
        <v>13</v>
      </c>
      <c r="B5" s="11">
        <v>-223384.84</v>
      </c>
      <c r="C5" s="11">
        <f t="shared" ref="C5:D5" si="1">B42</f>
        <v>-228516.95</v>
      </c>
      <c r="D5" s="11">
        <f t="shared" si="1"/>
        <v>-239047.97999999998</v>
      </c>
      <c r="E5" s="11">
        <f t="shared" ref="E5:G5" si="2">D42</f>
        <v>-237939.19999999998</v>
      </c>
      <c r="F5" s="11">
        <f t="shared" si="2"/>
        <v>-240606.84999999998</v>
      </c>
      <c r="G5" s="11">
        <f t="shared" si="2"/>
        <v>-242945.28999999998</v>
      </c>
      <c r="H5" s="11">
        <f t="shared" ref="H5" si="3">G42</f>
        <v>-235517.31999999998</v>
      </c>
      <c r="I5" s="11">
        <f t="shared" ref="I5" si="4">H42</f>
        <v>-244284.59999999998</v>
      </c>
      <c r="J5" s="11">
        <f t="shared" ref="J5" si="5">I42</f>
        <v>-240402.09999999998</v>
      </c>
      <c r="K5" s="11">
        <f>J42</f>
        <v>-237128.67999999996</v>
      </c>
      <c r="L5" s="11">
        <f t="shared" ref="L5:M5" si="6">K42</f>
        <v>-216478.76999999996</v>
      </c>
      <c r="M5" s="11">
        <f t="shared" si="6"/>
        <v>-225781.48999999993</v>
      </c>
      <c r="N5" s="11">
        <f>B5</f>
        <v>-223384.84</v>
      </c>
    </row>
    <row r="6" spans="1:15" ht="28.8" customHeight="1" thickBot="1" x14ac:dyDescent="0.3">
      <c r="A6" s="5" t="s">
        <v>12</v>
      </c>
      <c r="B6" s="12">
        <f>SUM(B7:B14)</f>
        <v>53993.770000000004</v>
      </c>
      <c r="C6" s="12">
        <f t="shared" ref="C6:M6" si="7">SUM(C7:C14)</f>
        <v>60719.8</v>
      </c>
      <c r="D6" s="12">
        <f t="shared" si="7"/>
        <v>53560.93</v>
      </c>
      <c r="E6" s="12">
        <f t="shared" si="7"/>
        <v>56769.020000000004</v>
      </c>
      <c r="F6" s="12">
        <f t="shared" si="7"/>
        <v>56883.86</v>
      </c>
      <c r="G6" s="12">
        <f t="shared" si="7"/>
        <v>52589.16</v>
      </c>
      <c r="H6" s="12">
        <f t="shared" si="7"/>
        <v>55627.13</v>
      </c>
      <c r="I6" s="12">
        <f t="shared" si="7"/>
        <v>52880.63</v>
      </c>
      <c r="J6" s="12">
        <f t="shared" si="7"/>
        <v>56305.279999999999</v>
      </c>
      <c r="K6" s="12">
        <f t="shared" si="7"/>
        <v>37745.339999999997</v>
      </c>
      <c r="L6" s="12">
        <f t="shared" si="7"/>
        <v>71867.3</v>
      </c>
      <c r="M6" s="12">
        <f t="shared" si="7"/>
        <v>64639.59</v>
      </c>
      <c r="N6" s="12">
        <f>SUM(B6:M6)</f>
        <v>673581.81</v>
      </c>
    </row>
    <row r="7" spans="1:15" ht="27.6" customHeight="1" thickBot="1" x14ac:dyDescent="0.3">
      <c r="A7" s="10" t="s">
        <v>43</v>
      </c>
      <c r="B7" s="13">
        <f t="shared" ref="B7:G7" si="8">47794.36+1649.24</f>
        <v>49443.6</v>
      </c>
      <c r="C7" s="13">
        <f t="shared" si="8"/>
        <v>49443.6</v>
      </c>
      <c r="D7" s="13">
        <f t="shared" si="8"/>
        <v>49443.6</v>
      </c>
      <c r="E7" s="13">
        <f t="shared" si="8"/>
        <v>49443.6</v>
      </c>
      <c r="F7" s="13">
        <f t="shared" si="8"/>
        <v>49443.6</v>
      </c>
      <c r="G7" s="13">
        <f t="shared" si="8"/>
        <v>49443.6</v>
      </c>
      <c r="H7" s="13">
        <f>47794.36+1649.24</f>
        <v>49443.6</v>
      </c>
      <c r="I7" s="13">
        <f>47794.36+1649.24</f>
        <v>49443.6</v>
      </c>
      <c r="J7" s="13">
        <f>47794.36+1649.24</f>
        <v>49443.6</v>
      </c>
      <c r="K7" s="13">
        <f>59036.11+1649.24</f>
        <v>60685.35</v>
      </c>
      <c r="L7" s="13">
        <f>59036.11+1649.24</f>
        <v>60685.35</v>
      </c>
      <c r="M7" s="13">
        <f>59036.11+1649.24</f>
        <v>60685.35</v>
      </c>
      <c r="N7" s="13">
        <f>SUM(B7:M7)</f>
        <v>627048.44999999984</v>
      </c>
    </row>
    <row r="8" spans="1:15" ht="27.6" customHeight="1" thickBot="1" x14ac:dyDescent="0.3">
      <c r="A8" s="10" t="s">
        <v>16</v>
      </c>
      <c r="B8" s="13">
        <v>2369.98</v>
      </c>
      <c r="C8" s="13">
        <v>2369.98</v>
      </c>
      <c r="D8" s="13">
        <v>2369.98</v>
      </c>
      <c r="E8" s="13">
        <v>2369.98</v>
      </c>
      <c r="F8" s="13">
        <v>2369.98</v>
      </c>
      <c r="G8" s="13">
        <v>2369.98</v>
      </c>
      <c r="H8" s="13">
        <v>2369.98</v>
      </c>
      <c r="I8" s="13">
        <v>2369.98</v>
      </c>
      <c r="J8" s="13">
        <v>2369.98</v>
      </c>
      <c r="K8" s="13">
        <v>2927.43</v>
      </c>
      <c r="L8" s="13">
        <v>2927.43</v>
      </c>
      <c r="M8" s="13">
        <v>2927.43</v>
      </c>
      <c r="N8" s="13">
        <f>SUM(B8:M8)</f>
        <v>30112.11</v>
      </c>
    </row>
    <row r="9" spans="1:15" ht="26.4" customHeight="1" thickBot="1" x14ac:dyDescent="0.3">
      <c r="A9" s="10" t="s">
        <v>17</v>
      </c>
      <c r="B9" s="13">
        <v>0</v>
      </c>
      <c r="C9" s="13">
        <v>0</v>
      </c>
      <c r="D9" s="13">
        <v>0</v>
      </c>
      <c r="E9" s="13">
        <f>3515.64+173.58</f>
        <v>3689.22</v>
      </c>
      <c r="F9" s="13">
        <v>0</v>
      </c>
      <c r="G9" s="13">
        <v>0</v>
      </c>
      <c r="H9" s="13">
        <f>592.45+28.37</f>
        <v>620.82000000000005</v>
      </c>
      <c r="I9" s="13">
        <v>0</v>
      </c>
      <c r="J9" s="13">
        <v>0</v>
      </c>
      <c r="K9" s="13">
        <f>1418.92+70.1</f>
        <v>1489.02</v>
      </c>
      <c r="L9" s="13">
        <v>0</v>
      </c>
      <c r="M9" s="13">
        <v>0</v>
      </c>
      <c r="N9" s="13">
        <f t="shared" ref="N9" si="9">SUM(B9:M9)</f>
        <v>5799.0599999999995</v>
      </c>
    </row>
    <row r="10" spans="1:15" ht="24.75" customHeight="1" thickBot="1" x14ac:dyDescent="0.3">
      <c r="A10" s="10" t="s">
        <v>18</v>
      </c>
      <c r="B10" s="13">
        <f>233.68+11.68</f>
        <v>245.36</v>
      </c>
      <c r="C10" s="13">
        <f>233.68+11.68</f>
        <v>245.36</v>
      </c>
      <c r="D10" s="13">
        <f>233.68+11.68</f>
        <v>245.36</v>
      </c>
      <c r="E10" s="13">
        <f>233.68+11.68</f>
        <v>245.36</v>
      </c>
      <c r="F10" s="13">
        <f>233.68+11.68</f>
        <v>245.36</v>
      </c>
      <c r="G10" s="13">
        <v>-245.28</v>
      </c>
      <c r="H10" s="13">
        <v>0</v>
      </c>
      <c r="I10" s="13">
        <v>0</v>
      </c>
      <c r="J10" s="13">
        <v>0</v>
      </c>
      <c r="K10" s="13">
        <v>-28383.27</v>
      </c>
      <c r="L10" s="13">
        <v>0</v>
      </c>
      <c r="M10" s="13">
        <v>0</v>
      </c>
      <c r="N10" s="13">
        <f t="shared" ref="N10:N23" si="10">SUM(B10:M10)</f>
        <v>-27401.75</v>
      </c>
    </row>
    <row r="11" spans="1:15" ht="24.75" customHeight="1" thickBot="1" x14ac:dyDescent="0.3">
      <c r="A11" s="10" t="s">
        <v>19</v>
      </c>
      <c r="B11" s="13">
        <f>870.58+43.39</f>
        <v>913.97</v>
      </c>
      <c r="C11" s="13">
        <f>7279.5+360.5</f>
        <v>7640</v>
      </c>
      <c r="D11" s="13">
        <f>457.76+23.37</f>
        <v>481.13</v>
      </c>
      <c r="E11" s="13">
        <v>0</v>
      </c>
      <c r="F11" s="13">
        <f>3625.48+178.58</f>
        <v>3804.06</v>
      </c>
      <c r="G11" s="13">
        <v>0</v>
      </c>
      <c r="H11" s="13">
        <f>2064.11+101.81</f>
        <v>2165.92</v>
      </c>
      <c r="I11" s="13">
        <f>38.57+1.67</f>
        <v>40.24</v>
      </c>
      <c r="J11" s="13">
        <f>3301.33+163.56</f>
        <v>3464.89</v>
      </c>
      <c r="K11" s="13">
        <v>0</v>
      </c>
      <c r="L11" s="13">
        <f>6885.56+342.15</f>
        <v>7227.71</v>
      </c>
      <c r="M11" s="13">
        <v>0</v>
      </c>
      <c r="N11" s="13">
        <f t="shared" si="10"/>
        <v>25737.919999999998</v>
      </c>
    </row>
    <row r="12" spans="1:15" ht="24.75" customHeight="1" thickBot="1" x14ac:dyDescent="0.3">
      <c r="A12" s="10" t="s">
        <v>26</v>
      </c>
      <c r="B12" s="13">
        <f t="shared" ref="B12:G12" si="11">334.17+16.69</f>
        <v>350.86</v>
      </c>
      <c r="C12" s="13">
        <f t="shared" si="11"/>
        <v>350.86</v>
      </c>
      <c r="D12" s="13">
        <f t="shared" si="11"/>
        <v>350.86</v>
      </c>
      <c r="E12" s="13">
        <f t="shared" si="11"/>
        <v>350.86</v>
      </c>
      <c r="F12" s="13">
        <f t="shared" si="11"/>
        <v>350.86</v>
      </c>
      <c r="G12" s="13">
        <f t="shared" si="11"/>
        <v>350.86</v>
      </c>
      <c r="H12" s="13">
        <f t="shared" ref="H12:M12" si="12">340.12+16.69</f>
        <v>356.81</v>
      </c>
      <c r="I12" s="13">
        <f t="shared" si="12"/>
        <v>356.81</v>
      </c>
      <c r="J12" s="13">
        <f t="shared" si="12"/>
        <v>356.81</v>
      </c>
      <c r="K12" s="13">
        <f t="shared" si="12"/>
        <v>356.81</v>
      </c>
      <c r="L12" s="13">
        <f t="shared" si="12"/>
        <v>356.81</v>
      </c>
      <c r="M12" s="13">
        <f t="shared" si="12"/>
        <v>356.81</v>
      </c>
      <c r="N12" s="13">
        <f t="shared" si="10"/>
        <v>4246.0200000000004</v>
      </c>
    </row>
    <row r="13" spans="1:15" ht="24.75" hidden="1" customHeight="1" thickBot="1" x14ac:dyDescent="0.3">
      <c r="A13" s="10" t="s">
        <v>27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/>
      <c r="M13" s="13"/>
      <c r="N13" s="13">
        <f t="shared" si="10"/>
        <v>0</v>
      </c>
    </row>
    <row r="14" spans="1:15" ht="24.75" customHeight="1" thickBot="1" x14ac:dyDescent="0.3">
      <c r="A14" s="10" t="s">
        <v>15</v>
      </c>
      <c r="B14" s="13">
        <v>670</v>
      </c>
      <c r="C14" s="13">
        <v>670</v>
      </c>
      <c r="D14" s="13">
        <v>670</v>
      </c>
      <c r="E14" s="13">
        <v>670</v>
      </c>
      <c r="F14" s="13">
        <v>670</v>
      </c>
      <c r="G14" s="13">
        <v>670</v>
      </c>
      <c r="H14" s="13">
        <v>670</v>
      </c>
      <c r="I14" s="13">
        <v>670</v>
      </c>
      <c r="J14" s="13">
        <v>670</v>
      </c>
      <c r="K14" s="13">
        <v>670</v>
      </c>
      <c r="L14" s="13">
        <v>670</v>
      </c>
      <c r="M14" s="13">
        <v>670</v>
      </c>
      <c r="N14" s="13">
        <f t="shared" si="10"/>
        <v>8040</v>
      </c>
    </row>
    <row r="15" spans="1:15" ht="24.75" customHeight="1" thickBot="1" x14ac:dyDescent="0.3">
      <c r="A15" s="7" t="s">
        <v>8</v>
      </c>
      <c r="B15" s="14">
        <f>SUM(B16:B23)</f>
        <v>48861.66</v>
      </c>
      <c r="C15" s="14">
        <f t="shared" ref="C15:M15" si="13">SUM(C16:C23)</f>
        <v>50188.770000000004</v>
      </c>
      <c r="D15" s="14">
        <f t="shared" si="13"/>
        <v>54669.71</v>
      </c>
      <c r="E15" s="14">
        <f t="shared" si="13"/>
        <v>54101.369999999995</v>
      </c>
      <c r="F15" s="14">
        <f t="shared" si="13"/>
        <v>54545.419999999991</v>
      </c>
      <c r="G15" s="14">
        <f t="shared" si="13"/>
        <v>60017.12999999999</v>
      </c>
      <c r="H15" s="14">
        <f t="shared" si="13"/>
        <v>46859.850000000006</v>
      </c>
      <c r="I15" s="14">
        <f t="shared" si="13"/>
        <v>56763.13</v>
      </c>
      <c r="J15" s="14">
        <f t="shared" si="13"/>
        <v>59578.7</v>
      </c>
      <c r="K15" s="14">
        <f t="shared" si="13"/>
        <v>58395.250000000007</v>
      </c>
      <c r="L15" s="14">
        <f t="shared" si="13"/>
        <v>62564.58</v>
      </c>
      <c r="M15" s="14">
        <f t="shared" si="13"/>
        <v>62976.67</v>
      </c>
      <c r="N15" s="14">
        <f t="shared" si="10"/>
        <v>669522.24000000011</v>
      </c>
    </row>
    <row r="16" spans="1:15" ht="27" customHeight="1" thickBot="1" x14ac:dyDescent="0.3">
      <c r="A16" s="10" t="s">
        <v>44</v>
      </c>
      <c r="B16" s="13">
        <f>40823.41+171.33+1365.31+739.2</f>
        <v>43099.25</v>
      </c>
      <c r="C16" s="13">
        <f>46428.61+1475.9</f>
        <v>47904.51</v>
      </c>
      <c r="D16" s="13">
        <f>43376.13+1339.42</f>
        <v>44715.549999999996</v>
      </c>
      <c r="E16" s="13">
        <f>49244.52+1587.46+871.45</f>
        <v>51703.429999999993</v>
      </c>
      <c r="F16" s="13">
        <f>47221.67+1533.49+1267.2</f>
        <v>50022.359999999993</v>
      </c>
      <c r="G16" s="13">
        <f>47788.6+1463.32+1267.2</f>
        <v>50519.119999999995</v>
      </c>
      <c r="H16" s="13">
        <f>43879.79+1744.57+21.07</f>
        <v>45645.43</v>
      </c>
      <c r="I16" s="13">
        <f>46851.46+1557.49</f>
        <v>48408.95</v>
      </c>
      <c r="J16" s="13">
        <f>56865.7+1479.24</f>
        <v>58344.939999999995</v>
      </c>
      <c r="K16" s="13">
        <f>49350.96+1634.33+422.4</f>
        <v>51407.69</v>
      </c>
      <c r="L16" s="13">
        <f>55581.2+1581</f>
        <v>57162.2</v>
      </c>
      <c r="M16" s="13">
        <f>51491.27+1449.4</f>
        <v>52940.67</v>
      </c>
      <c r="N16" s="13">
        <f t="shared" si="10"/>
        <v>601874.1</v>
      </c>
    </row>
    <row r="17" spans="1:15" ht="28.2" customHeight="1" thickBot="1" x14ac:dyDescent="0.3">
      <c r="A17" s="10" t="s">
        <v>16</v>
      </c>
      <c r="B17" s="13">
        <v>2369.98</v>
      </c>
      <c r="C17" s="13">
        <v>0</v>
      </c>
      <c r="D17" s="13">
        <v>2369.98</v>
      </c>
      <c r="E17" s="13">
        <v>0</v>
      </c>
      <c r="F17" s="13">
        <v>0</v>
      </c>
      <c r="G17" s="13">
        <v>4739.96</v>
      </c>
      <c r="H17" s="13">
        <v>0</v>
      </c>
      <c r="I17" s="13">
        <f>2369.98*2</f>
        <v>4739.96</v>
      </c>
      <c r="J17" s="13">
        <v>0</v>
      </c>
      <c r="K17" s="13">
        <v>2369.98</v>
      </c>
      <c r="L17" s="13">
        <v>2927.43</v>
      </c>
      <c r="M17" s="13">
        <v>2927.43</v>
      </c>
      <c r="N17" s="13">
        <f t="shared" si="10"/>
        <v>22444.720000000001</v>
      </c>
    </row>
    <row r="18" spans="1:15" ht="26.4" customHeight="1" thickBot="1" x14ac:dyDescent="0.3">
      <c r="A18" s="10" t="s">
        <v>17</v>
      </c>
      <c r="B18" s="13">
        <v>33.119999999999997</v>
      </c>
      <c r="C18" s="13">
        <v>74.37</v>
      </c>
      <c r="D18" s="13">
        <v>75.09</v>
      </c>
      <c r="E18" s="13">
        <v>136.47</v>
      </c>
      <c r="F18" s="13">
        <v>3017.71</v>
      </c>
      <c r="G18" s="13">
        <v>162.11000000000001</v>
      </c>
      <c r="H18" s="13">
        <v>92.78</v>
      </c>
      <c r="I18" s="13">
        <f>563.36+28.37</f>
        <v>591.73</v>
      </c>
      <c r="J18" s="13">
        <v>59.31</v>
      </c>
      <c r="K18" s="13">
        <v>64.540000000000006</v>
      </c>
      <c r="L18" s="13">
        <f>1252.77+70.1</f>
        <v>1322.87</v>
      </c>
      <c r="M18" s="13">
        <v>18.48</v>
      </c>
      <c r="N18" s="13">
        <f t="shared" si="10"/>
        <v>5648.5800000000008</v>
      </c>
    </row>
    <row r="19" spans="1:15" ht="25.8" customHeight="1" thickBot="1" x14ac:dyDescent="0.3">
      <c r="A19" s="10" t="s">
        <v>18</v>
      </c>
      <c r="B19" s="13">
        <f>217.14+11.68</f>
        <v>228.82</v>
      </c>
      <c r="C19" s="13">
        <v>268.33999999999997</v>
      </c>
      <c r="D19" s="13">
        <f>235.15+11.68</f>
        <v>246.83</v>
      </c>
      <c r="E19" s="13">
        <v>271.51</v>
      </c>
      <c r="F19" s="13">
        <v>239.38</v>
      </c>
      <c r="G19" s="13">
        <f>53.28+11.68</f>
        <v>64.960000000000008</v>
      </c>
      <c r="H19" s="13">
        <v>18.22</v>
      </c>
      <c r="I19" s="13">
        <v>21.32</v>
      </c>
      <c r="J19" s="13">
        <v>12.16</v>
      </c>
      <c r="K19" s="13">
        <v>18.72</v>
      </c>
      <c r="L19" s="13">
        <v>0</v>
      </c>
      <c r="M19" s="13">
        <v>0</v>
      </c>
      <c r="N19" s="13">
        <f t="shared" si="10"/>
        <v>1390.2600000000002</v>
      </c>
    </row>
    <row r="20" spans="1:15" ht="24" customHeight="1" thickBot="1" x14ac:dyDescent="0.3">
      <c r="A20" s="10" t="s">
        <v>19</v>
      </c>
      <c r="B20" s="13">
        <f>2105.06+123.51</f>
        <v>2228.5700000000002</v>
      </c>
      <c r="C20" s="13">
        <v>1017</v>
      </c>
      <c r="D20" s="13">
        <f>5849.15+360.5</f>
        <v>6209.65</v>
      </c>
      <c r="E20" s="13">
        <v>1045.8399999999999</v>
      </c>
      <c r="F20" s="13">
        <v>335.86</v>
      </c>
      <c r="G20" s="13">
        <f>3390.76+178.58</f>
        <v>3569.34</v>
      </c>
      <c r="H20" s="13">
        <v>196.69</v>
      </c>
      <c r="I20" s="13">
        <f>1938.08+101.81+1.67</f>
        <v>2041.56</v>
      </c>
      <c r="J20" s="13">
        <v>234.23</v>
      </c>
      <c r="K20" s="13">
        <v>3081.94</v>
      </c>
      <c r="L20" s="13">
        <v>205.19</v>
      </c>
      <c r="M20" s="13">
        <f>5832.2+342.15</f>
        <v>6174.3499999999995</v>
      </c>
      <c r="N20" s="13">
        <f t="shared" si="10"/>
        <v>26340.219999999998</v>
      </c>
    </row>
    <row r="21" spans="1:15" ht="24" customHeight="1" thickBot="1" x14ac:dyDescent="0.3">
      <c r="A21" s="10" t="s">
        <v>26</v>
      </c>
      <c r="B21" s="13">
        <f>285.23+16.69</f>
        <v>301.92</v>
      </c>
      <c r="C21" s="13">
        <v>324.55</v>
      </c>
      <c r="D21" s="13">
        <f>295.92+16.69</f>
        <v>312.61</v>
      </c>
      <c r="E21" s="13">
        <v>344.12</v>
      </c>
      <c r="F21" s="13">
        <v>330.11</v>
      </c>
      <c r="G21" s="13">
        <f>328.26+(16.69*2)</f>
        <v>361.64</v>
      </c>
      <c r="H21" s="13">
        <v>306.73</v>
      </c>
      <c r="I21" s="13">
        <f>326.23+16.69*2</f>
        <v>359.61</v>
      </c>
      <c r="J21" s="13">
        <v>328.06</v>
      </c>
      <c r="K21" s="13">
        <f>345.69+16.69</f>
        <v>362.38</v>
      </c>
      <c r="L21" s="13">
        <f>330.2+16.69</f>
        <v>346.89</v>
      </c>
      <c r="M21" s="13">
        <f>299.05+16.69</f>
        <v>315.74</v>
      </c>
      <c r="N21" s="13">
        <f t="shared" si="10"/>
        <v>3994.3599999999997</v>
      </c>
    </row>
    <row r="22" spans="1:15" ht="24" hidden="1" customHeight="1" thickBot="1" x14ac:dyDescent="0.3">
      <c r="A22" s="10" t="s">
        <v>27</v>
      </c>
      <c r="B22" s="13"/>
      <c r="C22" s="13">
        <v>0</v>
      </c>
      <c r="D22" s="13">
        <v>0</v>
      </c>
      <c r="E22" s="13"/>
      <c r="F22" s="13"/>
      <c r="G22" s="13"/>
      <c r="H22" s="13">
        <v>0</v>
      </c>
      <c r="I22" s="13">
        <v>0</v>
      </c>
      <c r="J22" s="13">
        <v>0</v>
      </c>
      <c r="K22" s="13"/>
      <c r="L22" s="13"/>
      <c r="M22" s="13"/>
      <c r="N22" s="13">
        <f t="shared" si="10"/>
        <v>0</v>
      </c>
    </row>
    <row r="23" spans="1:15" ht="24" customHeight="1" thickBot="1" x14ac:dyDescent="0.3">
      <c r="A23" s="10" t="s">
        <v>15</v>
      </c>
      <c r="B23" s="13">
        <v>600</v>
      </c>
      <c r="C23" s="13">
        <v>600</v>
      </c>
      <c r="D23" s="13">
        <v>740</v>
      </c>
      <c r="E23" s="13">
        <v>600</v>
      </c>
      <c r="F23" s="13">
        <v>600</v>
      </c>
      <c r="G23" s="13">
        <v>600</v>
      </c>
      <c r="H23" s="13">
        <v>600</v>
      </c>
      <c r="I23" s="13">
        <v>600</v>
      </c>
      <c r="J23" s="13">
        <v>600</v>
      </c>
      <c r="K23" s="13">
        <v>1090</v>
      </c>
      <c r="L23" s="13">
        <v>600</v>
      </c>
      <c r="M23" s="13">
        <v>600</v>
      </c>
      <c r="N23" s="13">
        <f t="shared" si="10"/>
        <v>7830</v>
      </c>
    </row>
    <row r="24" spans="1:15" ht="26.25" customHeight="1" thickBot="1" x14ac:dyDescent="0.3">
      <c r="A24" s="8" t="s">
        <v>24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  <c r="O24" s="9"/>
    </row>
    <row r="25" spans="1:15" ht="26.4" customHeight="1" thickBot="1" x14ac:dyDescent="0.3">
      <c r="A25" s="10" t="s">
        <v>1</v>
      </c>
      <c r="B25" s="13">
        <f t="shared" ref="B25:F25" si="14">3532.7*0.55</f>
        <v>1942.9850000000001</v>
      </c>
      <c r="C25" s="13">
        <f t="shared" si="14"/>
        <v>1942.9850000000001</v>
      </c>
      <c r="D25" s="13">
        <f t="shared" si="14"/>
        <v>1942.9850000000001</v>
      </c>
      <c r="E25" s="13">
        <f t="shared" si="14"/>
        <v>1942.9850000000001</v>
      </c>
      <c r="F25" s="13">
        <f t="shared" si="14"/>
        <v>1942.9850000000001</v>
      </c>
      <c r="G25" s="13">
        <f>3532.7*0.55</f>
        <v>1942.9850000000001</v>
      </c>
      <c r="H25" s="13">
        <f t="shared" ref="H25:M25" si="15">3532.7*0.55</f>
        <v>1942.9850000000001</v>
      </c>
      <c r="I25" s="13">
        <f t="shared" si="15"/>
        <v>1942.9850000000001</v>
      </c>
      <c r="J25" s="13">
        <f t="shared" si="15"/>
        <v>1942.9850000000001</v>
      </c>
      <c r="K25" s="13">
        <f t="shared" si="15"/>
        <v>1942.9850000000001</v>
      </c>
      <c r="L25" s="13">
        <f t="shared" si="15"/>
        <v>1942.9850000000001</v>
      </c>
      <c r="M25" s="13">
        <f t="shared" si="15"/>
        <v>1942.9850000000001</v>
      </c>
      <c r="N25" s="13">
        <f t="shared" ref="N25:N38" si="16">SUM(B25:M25)</f>
        <v>23315.820000000003</v>
      </c>
    </row>
    <row r="26" spans="1:15" ht="23.4" customHeight="1" thickBot="1" x14ac:dyDescent="0.3">
      <c r="A26" s="10" t="s">
        <v>2</v>
      </c>
      <c r="B26" s="13">
        <f t="shared" ref="B26:M26" si="17">3532.7*0.17</f>
        <v>600.55899999999997</v>
      </c>
      <c r="C26" s="13">
        <f t="shared" si="17"/>
        <v>600.55899999999997</v>
      </c>
      <c r="D26" s="13">
        <f t="shared" si="17"/>
        <v>600.55899999999997</v>
      </c>
      <c r="E26" s="13">
        <f t="shared" si="17"/>
        <v>600.55899999999997</v>
      </c>
      <c r="F26" s="13">
        <f t="shared" si="17"/>
        <v>600.55899999999997</v>
      </c>
      <c r="G26" s="13">
        <f t="shared" si="17"/>
        <v>600.55899999999997</v>
      </c>
      <c r="H26" s="13">
        <f t="shared" si="17"/>
        <v>600.55899999999997</v>
      </c>
      <c r="I26" s="13">
        <f t="shared" si="17"/>
        <v>600.55899999999997</v>
      </c>
      <c r="J26" s="13">
        <f t="shared" si="17"/>
        <v>600.55899999999997</v>
      </c>
      <c r="K26" s="13">
        <f t="shared" si="17"/>
        <v>600.55899999999997</v>
      </c>
      <c r="L26" s="13">
        <f t="shared" si="17"/>
        <v>600.55899999999997</v>
      </c>
      <c r="M26" s="13">
        <f t="shared" si="17"/>
        <v>600.55899999999997</v>
      </c>
      <c r="N26" s="13">
        <f t="shared" si="16"/>
        <v>7206.7080000000014</v>
      </c>
    </row>
    <row r="27" spans="1:15" ht="23.4" customHeight="1" thickBot="1" x14ac:dyDescent="0.3">
      <c r="A27" s="10" t="s">
        <v>3</v>
      </c>
      <c r="B27" s="13">
        <f>50882.03*2.3%</f>
        <v>1170.2866899999999</v>
      </c>
      <c r="C27" s="13">
        <f>57290.95*2.3%</f>
        <v>1317.6918499999999</v>
      </c>
      <c r="D27" s="13">
        <f>50469.21*2.3%</f>
        <v>1160.7918299999999</v>
      </c>
      <c r="E27" s="13">
        <f>53527.09*2.3%</f>
        <v>1231.1230699999999</v>
      </c>
      <c r="F27" s="13">
        <f>53636.93*2.3%</f>
        <v>1233.64939</v>
      </c>
      <c r="G27" s="13">
        <f>49532.49*2.3%</f>
        <v>1139.2472699999998</v>
      </c>
      <c r="H27" s="13">
        <f>52440.28*2.3%</f>
        <v>1206.12644</v>
      </c>
      <c r="I27" s="13">
        <f>49822.29*2.3%</f>
        <v>1145.9126699999999</v>
      </c>
      <c r="J27" s="13">
        <f>53085.05*2.3%</f>
        <v>1220.95615</v>
      </c>
      <c r="K27" s="13">
        <f>34061.12*2.3%</f>
        <v>783.4057600000001</v>
      </c>
      <c r="L27" s="13">
        <f>67911.03*2.3%</f>
        <v>1561.9536900000001</v>
      </c>
      <c r="M27" s="13">
        <f>61025.47*2.3%</f>
        <v>1403.58581</v>
      </c>
      <c r="N27" s="13">
        <f t="shared" si="16"/>
        <v>14574.73062</v>
      </c>
    </row>
    <row r="28" spans="1:15" ht="23.4" customHeight="1" thickBot="1" x14ac:dyDescent="0.3">
      <c r="A28" s="10" t="s">
        <v>4</v>
      </c>
      <c r="B28" s="13">
        <f>45739.8*3%</f>
        <v>1372.194</v>
      </c>
      <c r="C28" s="13">
        <f>49588.77*3%</f>
        <v>1487.6630999999998</v>
      </c>
      <c r="D28" s="13">
        <f>51170.86*3%</f>
        <v>1535.1258</v>
      </c>
      <c r="E28" s="13">
        <f>53501.37*3%</f>
        <v>1605.0410999999999</v>
      </c>
      <c r="F28" s="13">
        <f>53945.42*3%</f>
        <v>1618.3625999999999</v>
      </c>
      <c r="G28" s="13">
        <f>54453.53*3%</f>
        <v>1633.6058999999998</v>
      </c>
      <c r="H28" s="13">
        <f>46259.85*3%</f>
        <v>1387.7954999999999</v>
      </c>
      <c r="I28" s="13">
        <f>51257.94*3%</f>
        <v>1537.7382</v>
      </c>
      <c r="J28" s="13">
        <f>58978.7*3%</f>
        <v>1769.3609999999999</v>
      </c>
      <c r="K28" s="13">
        <f>54918.58*3%</f>
        <v>1647.5573999999999</v>
      </c>
      <c r="L28" s="13">
        <f>58950.36*3%</f>
        <v>1768.5108</v>
      </c>
      <c r="M28" s="13">
        <f>59090.4*3%</f>
        <v>1772.712</v>
      </c>
      <c r="N28" s="13">
        <f t="shared" si="16"/>
        <v>19135.667399999998</v>
      </c>
    </row>
    <row r="29" spans="1:15" ht="23.4" customHeight="1" thickBot="1" x14ac:dyDescent="0.3">
      <c r="A29" s="10" t="s">
        <v>9</v>
      </c>
      <c r="B29" s="13">
        <v>26141.98</v>
      </c>
      <c r="C29" s="13">
        <v>26141.98</v>
      </c>
      <c r="D29" s="13">
        <v>26141.98</v>
      </c>
      <c r="E29" s="13">
        <v>26141.98</v>
      </c>
      <c r="F29" s="13">
        <v>26141.98</v>
      </c>
      <c r="G29" s="13">
        <v>26141.98</v>
      </c>
      <c r="H29" s="13">
        <v>26141.98</v>
      </c>
      <c r="I29" s="13">
        <v>26141.98</v>
      </c>
      <c r="J29" s="13">
        <v>26141.98</v>
      </c>
      <c r="K29" s="13">
        <f>3532.7*8.5</f>
        <v>30027.949999999997</v>
      </c>
      <c r="L29" s="13">
        <f t="shared" ref="L29:M29" si="18">3532.7*8.5</f>
        <v>30027.949999999997</v>
      </c>
      <c r="M29" s="13">
        <f t="shared" si="18"/>
        <v>30027.949999999997</v>
      </c>
      <c r="N29" s="13">
        <f t="shared" si="16"/>
        <v>325361.67000000004</v>
      </c>
    </row>
    <row r="30" spans="1:15" ht="23.4" customHeight="1" thickBot="1" x14ac:dyDescent="0.3">
      <c r="A30" s="10" t="s">
        <v>20</v>
      </c>
      <c r="B30" s="13">
        <v>0</v>
      </c>
      <c r="C30" s="13">
        <v>0</v>
      </c>
      <c r="D30" s="13">
        <f>3248.52+441.46</f>
        <v>3689.98</v>
      </c>
      <c r="E30" s="13">
        <v>0</v>
      </c>
      <c r="F30" s="13">
        <v>0</v>
      </c>
      <c r="G30" s="13">
        <v>621.73</v>
      </c>
      <c r="H30" s="13">
        <v>0</v>
      </c>
      <c r="I30" s="13">
        <v>0</v>
      </c>
      <c r="J30" s="13">
        <f>1049.1+440.2</f>
        <v>1489.3</v>
      </c>
      <c r="K30" s="13">
        <v>0</v>
      </c>
      <c r="L30" s="13">
        <v>0</v>
      </c>
      <c r="M30" s="13">
        <v>0</v>
      </c>
      <c r="N30" s="13">
        <f t="shared" si="16"/>
        <v>5801.01</v>
      </c>
    </row>
    <row r="31" spans="1:15" ht="23.4" customHeight="1" thickBot="1" x14ac:dyDescent="0.3">
      <c r="A31" s="10" t="s">
        <v>21</v>
      </c>
      <c r="B31" s="13">
        <v>245.3</v>
      </c>
      <c r="C31" s="13">
        <v>245.3</v>
      </c>
      <c r="D31" s="13">
        <v>245.3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 t="shared" si="16"/>
        <v>735.90000000000009</v>
      </c>
    </row>
    <row r="32" spans="1:15" ht="23.4" customHeight="1" thickBot="1" x14ac:dyDescent="0.3">
      <c r="A32" s="10" t="s">
        <v>22</v>
      </c>
      <c r="B32" s="13">
        <v>7640.49</v>
      </c>
      <c r="C32" s="13">
        <v>480.48</v>
      </c>
      <c r="D32" s="13">
        <v>0</v>
      </c>
      <c r="E32" s="13">
        <v>3805.22</v>
      </c>
      <c r="F32" s="13">
        <v>0</v>
      </c>
      <c r="G32" s="13">
        <v>2166.4499999999998</v>
      </c>
      <c r="H32" s="13">
        <v>40.5</v>
      </c>
      <c r="I32" s="13">
        <v>3465</v>
      </c>
      <c r="J32" s="13">
        <v>0</v>
      </c>
      <c r="K32" s="13">
        <v>7227</v>
      </c>
      <c r="L32" s="13">
        <v>0</v>
      </c>
      <c r="M32" s="13">
        <v>0</v>
      </c>
      <c r="N32" s="13">
        <f t="shared" si="16"/>
        <v>24825.14</v>
      </c>
    </row>
    <row r="33" spans="1:14" ht="23.4" customHeight="1" thickBot="1" x14ac:dyDescent="0.3">
      <c r="A33" s="10" t="s">
        <v>26</v>
      </c>
      <c r="B33" s="13">
        <v>350.75</v>
      </c>
      <c r="C33" s="13">
        <v>350.75</v>
      </c>
      <c r="D33" s="13">
        <v>350.75</v>
      </c>
      <c r="E33" s="13">
        <v>350.75</v>
      </c>
      <c r="F33" s="13">
        <v>350.75</v>
      </c>
      <c r="G33" s="13">
        <v>350.75</v>
      </c>
      <c r="H33" s="13">
        <v>357.04</v>
      </c>
      <c r="I33" s="13">
        <v>357.04</v>
      </c>
      <c r="J33" s="13">
        <v>357.04</v>
      </c>
      <c r="K33" s="13">
        <v>357.04</v>
      </c>
      <c r="L33" s="13">
        <v>357.04</v>
      </c>
      <c r="M33" s="13">
        <v>357.04</v>
      </c>
      <c r="N33" s="13">
        <f t="shared" si="16"/>
        <v>4246.74</v>
      </c>
    </row>
    <row r="34" spans="1:14" ht="23.4" customHeight="1" thickBot="1" x14ac:dyDescent="0.3">
      <c r="A34" s="10" t="s">
        <v>6</v>
      </c>
      <c r="B34" s="13">
        <f>3532.7*2.13</f>
        <v>7524.6509999999989</v>
      </c>
      <c r="C34" s="13">
        <f t="shared" ref="C34:J34" si="19">3532.7*2.13</f>
        <v>7524.6509999999989</v>
      </c>
      <c r="D34" s="13">
        <f t="shared" si="19"/>
        <v>7524.6509999999989</v>
      </c>
      <c r="E34" s="13">
        <f t="shared" si="19"/>
        <v>7524.6509999999989</v>
      </c>
      <c r="F34" s="13">
        <f t="shared" si="19"/>
        <v>7524.6509999999989</v>
      </c>
      <c r="G34" s="13">
        <f t="shared" si="19"/>
        <v>7524.6509999999989</v>
      </c>
      <c r="H34" s="13">
        <f t="shared" si="19"/>
        <v>7524.6509999999989</v>
      </c>
      <c r="I34" s="13">
        <f t="shared" si="19"/>
        <v>7524.6509999999989</v>
      </c>
      <c r="J34" s="13">
        <f t="shared" si="19"/>
        <v>7524.6509999999989</v>
      </c>
      <c r="K34" s="13">
        <f>3532.7*2.63</f>
        <v>9291.0009999999984</v>
      </c>
      <c r="L34" s="13">
        <f t="shared" ref="L34:M34" si="20">3532.7*2.63</f>
        <v>9291.0009999999984</v>
      </c>
      <c r="M34" s="13">
        <f t="shared" si="20"/>
        <v>9291.0009999999984</v>
      </c>
      <c r="N34" s="13">
        <f t="shared" si="16"/>
        <v>95594.862000000008</v>
      </c>
    </row>
    <row r="35" spans="1:14" ht="23.4" hidden="1" customHeight="1" thickBot="1" x14ac:dyDescent="0.3">
      <c r="A35" s="10" t="s">
        <v>27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 t="shared" si="16"/>
        <v>0</v>
      </c>
    </row>
    <row r="36" spans="1:14" ht="23.4" customHeight="1" thickBot="1" x14ac:dyDescent="0.3">
      <c r="A36" s="10" t="s">
        <v>25</v>
      </c>
      <c r="B36" s="13">
        <f>1140</f>
        <v>1140</v>
      </c>
      <c r="C36" s="13">
        <v>1140</v>
      </c>
      <c r="D36" s="13">
        <v>1140</v>
      </c>
      <c r="E36" s="13">
        <v>0</v>
      </c>
      <c r="F36" s="13">
        <v>1140</v>
      </c>
      <c r="G36" s="13">
        <v>1140</v>
      </c>
      <c r="H36" s="13">
        <f>1140</f>
        <v>1140</v>
      </c>
      <c r="I36" s="13">
        <f>1140</f>
        <v>1140</v>
      </c>
      <c r="J36" s="13">
        <f>1140</f>
        <v>1140</v>
      </c>
      <c r="K36" s="13">
        <f>1140</f>
        <v>1140</v>
      </c>
      <c r="L36" s="13">
        <f>1140</f>
        <v>1140</v>
      </c>
      <c r="M36" s="13">
        <f>1140</f>
        <v>1140</v>
      </c>
      <c r="N36" s="13">
        <f t="shared" si="16"/>
        <v>12540</v>
      </c>
    </row>
    <row r="37" spans="1:14" ht="23.4" customHeight="1" thickBot="1" x14ac:dyDescent="0.3">
      <c r="A37" s="10" t="s">
        <v>14</v>
      </c>
      <c r="B37" s="13">
        <v>0</v>
      </c>
      <c r="C37" s="13">
        <v>0</v>
      </c>
      <c r="D37" s="13">
        <v>0</v>
      </c>
      <c r="E37" s="13">
        <v>0</v>
      </c>
      <c r="F37" s="13">
        <v>14489.28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 t="shared" si="16"/>
        <v>14489.28</v>
      </c>
    </row>
    <row r="38" spans="1:14" ht="25.8" customHeight="1" thickBot="1" x14ac:dyDescent="0.3">
      <c r="A38" s="10" t="s">
        <v>10</v>
      </c>
      <c r="B38" s="13">
        <f>1110.9+65</f>
        <v>1175.9000000000001</v>
      </c>
      <c r="C38" s="13">
        <f>150</f>
        <v>150</v>
      </c>
      <c r="D38" s="13">
        <f>75+75+150+725.5</f>
        <v>1025.5</v>
      </c>
      <c r="E38" s="13">
        <f>1579.7+1019.3+1888.6+1019.3+4500+11244+3853.5+500</f>
        <v>25604.400000000001</v>
      </c>
      <c r="F38" s="13">
        <f>40339.97+72500</f>
        <v>112839.97</v>
      </c>
      <c r="G38" s="13">
        <f>28500+951.2</f>
        <v>29451.200000000001</v>
      </c>
      <c r="H38" s="13">
        <f>1580</f>
        <v>1580</v>
      </c>
      <c r="I38" s="13">
        <f>9038.1</f>
        <v>9038.1</v>
      </c>
      <c r="J38" s="13">
        <v>0</v>
      </c>
      <c r="K38" s="13">
        <f>8250+9593+14954.8</f>
        <v>32797.800000000003</v>
      </c>
      <c r="L38" s="13">
        <f>1167.9+3049.7+3702.8</f>
        <v>7920.4000000000005</v>
      </c>
      <c r="M38" s="13">
        <f>37670.52</f>
        <v>37670.519999999997</v>
      </c>
      <c r="N38" s="13">
        <f t="shared" si="16"/>
        <v>259253.79000000004</v>
      </c>
    </row>
    <row r="39" spans="1:14" ht="24" customHeight="1" thickBot="1" x14ac:dyDescent="0.3">
      <c r="A39" s="5" t="s">
        <v>23</v>
      </c>
      <c r="B39" s="12">
        <f>SUM(B25:B38)</f>
        <v>49305.095690000002</v>
      </c>
      <c r="C39" s="12">
        <f t="shared" ref="C39:M39" si="21">SUM(C25:C38)</f>
        <v>41382.059949999995</v>
      </c>
      <c r="D39" s="12">
        <f t="shared" si="21"/>
        <v>45357.622630000005</v>
      </c>
      <c r="E39" s="12">
        <f t="shared" si="21"/>
        <v>68806.709170000002</v>
      </c>
      <c r="F39" s="12">
        <f t="shared" si="21"/>
        <v>167882.18699000002</v>
      </c>
      <c r="G39" s="12">
        <f t="shared" si="21"/>
        <v>72713.158169999995</v>
      </c>
      <c r="H39" s="12">
        <f t="shared" si="21"/>
        <v>41921.636939999997</v>
      </c>
      <c r="I39" s="12">
        <f t="shared" si="21"/>
        <v>52893.96587</v>
      </c>
      <c r="J39" s="12">
        <f t="shared" si="21"/>
        <v>42186.832150000002</v>
      </c>
      <c r="K39" s="12">
        <f t="shared" si="21"/>
        <v>85815.298160000006</v>
      </c>
      <c r="L39" s="12">
        <f t="shared" si="21"/>
        <v>54610.399489999996</v>
      </c>
      <c r="M39" s="12">
        <f t="shared" si="21"/>
        <v>84206.352809999982</v>
      </c>
      <c r="N39" s="12">
        <f>SUM(N25:N38)</f>
        <v>807081.31802000012</v>
      </c>
    </row>
    <row r="40" spans="1:14" ht="27" customHeight="1" thickBot="1" x14ac:dyDescent="0.3">
      <c r="A40" s="6" t="s">
        <v>5</v>
      </c>
      <c r="B40" s="13">
        <f>B15-B39</f>
        <v>-443.43568999999843</v>
      </c>
      <c r="C40" s="13">
        <f t="shared" ref="C40:M40" si="22">C15-C39</f>
        <v>8806.7100500000088</v>
      </c>
      <c r="D40" s="13">
        <f t="shared" si="22"/>
        <v>9312.0873699999938</v>
      </c>
      <c r="E40" s="13">
        <f t="shared" si="22"/>
        <v>-14705.339170000007</v>
      </c>
      <c r="F40" s="13">
        <f t="shared" si="22"/>
        <v>-113336.76699000003</v>
      </c>
      <c r="G40" s="13">
        <f t="shared" si="22"/>
        <v>-12696.028170000005</v>
      </c>
      <c r="H40" s="13">
        <f t="shared" si="22"/>
        <v>4938.2130600000091</v>
      </c>
      <c r="I40" s="13">
        <f t="shared" si="22"/>
        <v>3869.1641299999974</v>
      </c>
      <c r="J40" s="13">
        <f t="shared" si="22"/>
        <v>17391.867849999995</v>
      </c>
      <c r="K40" s="13">
        <f t="shared" si="22"/>
        <v>-27420.048159999998</v>
      </c>
      <c r="L40" s="13">
        <f t="shared" si="22"/>
        <v>7954.1805100000056</v>
      </c>
      <c r="M40" s="13">
        <f t="shared" si="22"/>
        <v>-21229.682809999984</v>
      </c>
      <c r="N40" s="13">
        <f>N15-N39</f>
        <v>-137559.07802000002</v>
      </c>
    </row>
    <row r="41" spans="1:14" ht="27.6" customHeight="1" thickBot="1" x14ac:dyDescent="0.3">
      <c r="A41" s="6" t="s">
        <v>7</v>
      </c>
      <c r="B41" s="17">
        <f t="shared" ref="B41:N41" si="23">B4+B40</f>
        <v>-466881.09568999999</v>
      </c>
      <c r="C41" s="17">
        <f t="shared" si="23"/>
        <v>-458074.38563999999</v>
      </c>
      <c r="D41" s="17">
        <f t="shared" si="23"/>
        <v>-448762.29827000003</v>
      </c>
      <c r="E41" s="17">
        <f t="shared" si="23"/>
        <v>-463467.63744000002</v>
      </c>
      <c r="F41" s="17">
        <f t="shared" si="23"/>
        <v>-576804.40443000011</v>
      </c>
      <c r="G41" s="17">
        <f t="shared" si="23"/>
        <v>-589500.43260000017</v>
      </c>
      <c r="H41" s="17">
        <f t="shared" si="23"/>
        <v>-584562.21954000019</v>
      </c>
      <c r="I41" s="17">
        <f t="shared" si="23"/>
        <v>-580693.05541000015</v>
      </c>
      <c r="J41" s="17">
        <f t="shared" si="23"/>
        <v>-563301.18756000011</v>
      </c>
      <c r="K41" s="17">
        <f t="shared" si="23"/>
        <v>-590721.23572000011</v>
      </c>
      <c r="L41" s="17">
        <f t="shared" si="23"/>
        <v>-582767.05521000014</v>
      </c>
      <c r="M41" s="17">
        <f t="shared" si="23"/>
        <v>-603996.73802000016</v>
      </c>
      <c r="N41" s="17">
        <f t="shared" si="23"/>
        <v>-603996.73802000005</v>
      </c>
    </row>
    <row r="42" spans="1:14" ht="27" customHeight="1" thickBot="1" x14ac:dyDescent="0.3">
      <c r="A42" s="8" t="s">
        <v>11</v>
      </c>
      <c r="B42" s="16">
        <f>B5+B15-B6</f>
        <v>-228516.95</v>
      </c>
      <c r="C42" s="16">
        <f t="shared" ref="C42:M42" si="24">C5+C15-C6</f>
        <v>-239047.97999999998</v>
      </c>
      <c r="D42" s="16">
        <f t="shared" si="24"/>
        <v>-237939.19999999998</v>
      </c>
      <c r="E42" s="16">
        <f t="shared" si="24"/>
        <v>-240606.84999999998</v>
      </c>
      <c r="F42" s="16">
        <f t="shared" si="24"/>
        <v>-242945.28999999998</v>
      </c>
      <c r="G42" s="16">
        <f t="shared" si="24"/>
        <v>-235517.31999999998</v>
      </c>
      <c r="H42" s="16">
        <f t="shared" si="24"/>
        <v>-244284.59999999998</v>
      </c>
      <c r="I42" s="16">
        <f t="shared" si="24"/>
        <v>-240402.09999999998</v>
      </c>
      <c r="J42" s="16">
        <f t="shared" si="24"/>
        <v>-237128.67999999996</v>
      </c>
      <c r="K42" s="16">
        <f t="shared" si="24"/>
        <v>-216478.76999999996</v>
      </c>
      <c r="L42" s="16">
        <f t="shared" si="24"/>
        <v>-225781.48999999993</v>
      </c>
      <c r="M42" s="16">
        <f t="shared" si="24"/>
        <v>-227444.40999999995</v>
      </c>
      <c r="N42" s="16">
        <f t="shared" ref="N42" si="25">N5+N15-N6</f>
        <v>-227444.40999999992</v>
      </c>
    </row>
    <row r="43" spans="1:14" ht="27" customHeight="1" x14ac:dyDescent="0.25"/>
  </sheetData>
  <mergeCells count="1">
    <mergeCell ref="A1:N1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2022-03-18T05:09:56Z</cp:lastPrinted>
  <dcterms:created xsi:type="dcterms:W3CDTF">2011-06-06T03:25:48Z</dcterms:created>
  <dcterms:modified xsi:type="dcterms:W3CDTF">2022-03-18T05:12:26Z</dcterms:modified>
</cp:coreProperties>
</file>