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34" i="1" l="1"/>
  <c r="L34" i="1" l="1"/>
  <c r="M32" i="1" l="1"/>
  <c r="L32" i="1" l="1"/>
  <c r="K32" i="1" l="1"/>
  <c r="M27" i="1" l="1"/>
  <c r="L27" i="1"/>
  <c r="K27" i="1"/>
  <c r="K34" i="1" l="1"/>
  <c r="M25" i="1" l="1"/>
  <c r="M15" i="1"/>
  <c r="M24" i="1"/>
  <c r="M8" i="1"/>
  <c r="L25" i="1" l="1"/>
  <c r="L15" i="1"/>
  <c r="L24" i="1"/>
  <c r="L8" i="1"/>
  <c r="K25" i="1" l="1"/>
  <c r="K15" i="1"/>
  <c r="K24" i="1"/>
  <c r="K8" i="1"/>
  <c r="M31" i="1" l="1"/>
  <c r="L31" i="1"/>
  <c r="M26" i="1"/>
  <c r="L26" i="1"/>
  <c r="K31" i="1" l="1"/>
  <c r="K23" i="1"/>
  <c r="L23" i="1"/>
  <c r="M23" i="1"/>
  <c r="K22" i="1"/>
  <c r="L22" i="1"/>
  <c r="M22" i="1"/>
  <c r="C31" i="1" l="1"/>
  <c r="D31" i="1"/>
  <c r="E31" i="1"/>
  <c r="F31" i="1"/>
  <c r="G31" i="1"/>
  <c r="H31" i="1"/>
  <c r="I31" i="1"/>
  <c r="J31" i="1"/>
  <c r="B31" i="1"/>
  <c r="J34" i="1" l="1"/>
  <c r="I34" i="1" l="1"/>
  <c r="J27" i="1" l="1"/>
  <c r="H27" i="1"/>
  <c r="J32" i="1" l="1"/>
  <c r="H34" i="1" l="1"/>
  <c r="I32" i="1" l="1"/>
  <c r="H32" i="1" l="1"/>
  <c r="G32" i="1"/>
  <c r="J25" i="1" l="1"/>
  <c r="J15" i="1"/>
  <c r="J24" i="1"/>
  <c r="J8" i="1"/>
  <c r="I25" i="1" l="1"/>
  <c r="I15" i="1"/>
  <c r="I24" i="1"/>
  <c r="I8" i="1"/>
  <c r="H25" i="1" l="1"/>
  <c r="H15" i="1"/>
  <c r="H24" i="1"/>
  <c r="H8" i="1"/>
  <c r="H23" i="1" l="1"/>
  <c r="I23" i="1"/>
  <c r="J23" i="1"/>
  <c r="H22" i="1"/>
  <c r="I22" i="1"/>
  <c r="J22" i="1"/>
  <c r="G34" i="1" l="1"/>
  <c r="F32" i="1" l="1"/>
  <c r="E32" i="1" l="1"/>
  <c r="G25" i="1" l="1"/>
  <c r="G15" i="1"/>
  <c r="G24" i="1"/>
  <c r="G8" i="1"/>
  <c r="F25" i="1" l="1"/>
  <c r="F15" i="1"/>
  <c r="F24" i="1"/>
  <c r="F8" i="1"/>
  <c r="F34" i="1" l="1"/>
  <c r="E25" i="1" l="1"/>
  <c r="E15" i="1"/>
  <c r="E24" i="1"/>
  <c r="E8" i="1"/>
  <c r="E23" i="1" l="1"/>
  <c r="F23" i="1"/>
  <c r="G23" i="1"/>
  <c r="E22" i="1"/>
  <c r="F22" i="1"/>
  <c r="G22" i="1"/>
  <c r="D32" i="1" l="1"/>
  <c r="C32" i="1" l="1"/>
  <c r="B32" i="1" l="1"/>
  <c r="D25" i="1" l="1"/>
  <c r="D15" i="1"/>
  <c r="D24" i="1"/>
  <c r="D8" i="1"/>
  <c r="C34" i="1" l="1"/>
  <c r="C25" i="1" l="1"/>
  <c r="C15" i="1"/>
  <c r="C24" i="1"/>
  <c r="C8" i="1"/>
  <c r="B25" i="1" l="1"/>
  <c r="B15" i="1"/>
  <c r="B24" i="1"/>
  <c r="B8" i="1"/>
  <c r="B34" i="1" l="1"/>
  <c r="C23" i="1" l="1"/>
  <c r="D23" i="1"/>
  <c r="C22" i="1"/>
  <c r="D22" i="1"/>
  <c r="B23" i="1"/>
  <c r="B22" i="1"/>
  <c r="N26" i="1" l="1"/>
  <c r="N28" i="1"/>
  <c r="N29" i="1"/>
  <c r="N30" i="1"/>
  <c r="N32" i="1"/>
  <c r="N33" i="1"/>
  <c r="N31" i="1" l="1"/>
  <c r="N23" i="1" l="1"/>
  <c r="N22" i="1" l="1"/>
  <c r="H14" i="1" l="1"/>
  <c r="H7" i="1"/>
  <c r="H35" i="1" l="1"/>
  <c r="H36" i="1" s="1"/>
  <c r="E14" i="1" l="1"/>
  <c r="F14" i="1"/>
  <c r="G14" i="1"/>
  <c r="E7" i="1"/>
  <c r="F7" i="1"/>
  <c r="G7" i="1"/>
  <c r="N34" i="1"/>
  <c r="G35" i="1" l="1"/>
  <c r="G36" i="1" s="1"/>
  <c r="F35" i="1"/>
  <c r="F36" i="1" s="1"/>
  <c r="E35" i="1"/>
  <c r="E36" i="1" s="1"/>
  <c r="N27" i="1"/>
  <c r="N25" i="1" l="1"/>
  <c r="N24" i="1"/>
  <c r="C14" i="1" l="1"/>
  <c r="D14" i="1"/>
  <c r="C7" i="1"/>
  <c r="D7" i="1"/>
  <c r="N6" i="1"/>
  <c r="N5" i="1"/>
  <c r="D35" i="1" l="1"/>
  <c r="D36" i="1" s="1"/>
  <c r="C35" i="1"/>
  <c r="C36" i="1" s="1"/>
  <c r="N16" i="1"/>
  <c r="N17" i="1"/>
  <c r="N18" i="1"/>
  <c r="N19" i="1"/>
  <c r="N20" i="1"/>
  <c r="K14" i="1"/>
  <c r="L14" i="1"/>
  <c r="M14" i="1"/>
  <c r="N9" i="1"/>
  <c r="N10" i="1"/>
  <c r="N11" i="1"/>
  <c r="N12" i="1"/>
  <c r="N13" i="1"/>
  <c r="K7" i="1"/>
  <c r="L7" i="1"/>
  <c r="M7" i="1"/>
  <c r="N14" i="1" l="1"/>
  <c r="N7" i="1"/>
  <c r="K35" i="1"/>
  <c r="K36" i="1" s="1"/>
  <c r="M35" i="1"/>
  <c r="M36" i="1" s="1"/>
  <c r="L35" i="1"/>
  <c r="L36" i="1" s="1"/>
  <c r="N15" i="1" l="1"/>
  <c r="N8" i="1"/>
  <c r="I7" i="1"/>
  <c r="B14" i="1"/>
  <c r="I14" i="1"/>
  <c r="I35" i="1" l="1"/>
  <c r="B7" i="1"/>
  <c r="I36" i="1" l="1"/>
  <c r="B38" i="1"/>
  <c r="B35" i="1"/>
  <c r="C6" i="1" l="1"/>
  <c r="B36" i="1"/>
  <c r="B37" i="1" s="1"/>
  <c r="C5" i="1" s="1"/>
  <c r="J14" i="1"/>
  <c r="J7" i="1"/>
  <c r="J35" i="1" l="1"/>
  <c r="J36" i="1" s="1"/>
  <c r="C38" i="1"/>
  <c r="D6" i="1" s="1"/>
  <c r="D38" i="1" s="1"/>
  <c r="E6" i="1" s="1"/>
  <c r="C37" i="1"/>
  <c r="D5" i="1" s="1"/>
  <c r="D37" i="1" s="1"/>
  <c r="E5" i="1" s="1"/>
  <c r="E37" i="1" s="1"/>
  <c r="N38" i="1" l="1"/>
  <c r="E38" i="1"/>
  <c r="F6" i="1" s="1"/>
  <c r="F38" i="1" s="1"/>
  <c r="F5" i="1"/>
  <c r="F37" i="1" s="1"/>
  <c r="N35" i="1"/>
  <c r="N36" i="1" l="1"/>
  <c r="N37" i="1" s="1"/>
  <c r="G6" i="1"/>
  <c r="G38" i="1" s="1"/>
  <c r="G5" i="1"/>
  <c r="G37" i="1" s="1"/>
  <c r="H6" i="1" l="1"/>
  <c r="H38" i="1" s="1"/>
  <c r="I6" i="1" s="1"/>
  <c r="I38" i="1" s="1"/>
  <c r="J6" i="1" s="1"/>
  <c r="H5" i="1"/>
  <c r="J38" i="1" l="1"/>
  <c r="K6" i="1" s="1"/>
  <c r="K38" i="1" s="1"/>
  <c r="L6" i="1" s="1"/>
  <c r="L38" i="1" s="1"/>
  <c r="M6" i="1" s="1"/>
  <c r="M38" i="1" s="1"/>
  <c r="H37" i="1"/>
  <c r="I5" i="1" s="1"/>
  <c r="I37" i="1" l="1"/>
  <c r="J5" i="1" s="1"/>
  <c r="J37" i="1" l="1"/>
  <c r="K5" i="1" s="1"/>
  <c r="K37" i="1" s="1"/>
  <c r="L5" i="1" s="1"/>
  <c r="L37" i="1" s="1"/>
  <c r="M5" i="1" s="1"/>
  <c r="M37" i="1" s="1"/>
</calcChain>
</file>

<file path=xl/sharedStrings.xml><?xml version="1.0" encoding="utf-8"?>
<sst xmlns="http://schemas.openxmlformats.org/spreadsheetml/2006/main" count="49" uniqueCount="42">
  <si>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</si>
  <si>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</si>
  <si>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</si>
  <si>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</si>
  <si>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</si>
  <si>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</si>
  <si>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</si>
  <si>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</si>
  <si>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</si>
  <si>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</si>
  <si>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</si>
  <si>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</si>
  <si>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</si>
  <si>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</si>
  <si>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</si>
  <si>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</si>
  <si>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</si>
  <si>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</si>
  <si>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</si>
  <si>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</si>
  <si>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</si>
  <si>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</si>
  <si>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</si>
  <si>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</si>
  <si>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Вознаграждение, координация с советом МКД</t>
  </si>
  <si>
    <t>Январь 2021г</t>
  </si>
  <si>
    <t>Февраль 2021г</t>
  </si>
  <si>
    <t>Март 2021г</t>
  </si>
  <si>
    <t>Апрель 2021г</t>
  </si>
  <si>
    <t>Май 2021г</t>
  </si>
  <si>
    <t>Июнь 2021г</t>
  </si>
  <si>
    <t>Июль 2021г</t>
  </si>
  <si>
    <t>Август 2021г</t>
  </si>
  <si>
    <t>Сентябрь 2021г</t>
  </si>
  <si>
    <t>Октябрь 2021г.</t>
  </si>
  <si>
    <t>Ноябрь 2021г.</t>
  </si>
  <si>
    <t>Декабрь 2021г.</t>
  </si>
  <si>
    <t>Всего:                       за  2021г</t>
  </si>
  <si>
    <t>Тех.обслуживание приборов учета</t>
  </si>
  <si>
    <t xml:space="preserve">Содержание жилья и текущий ремонт, ОПУ </t>
  </si>
  <si>
    <t>Содержание жилья и текущий ремонт, ОПУ</t>
  </si>
  <si>
    <t xml:space="preserve">                 ОТЧЕТ по дому 8 Марта, 15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</si>
</sst>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topLeftCell="B1" zoomScale="75" workbookViewId="0">
      <selection activeCell="A2" sqref="A1:I1048576"/>
    </sheetView>
  </sheetViews>
  <sheetFormatPr defaultRowHeight="13.2" x14ac:dyDescent="0.25"/>
  <cols>
    <col min="1" max="1" width="56.33203125" customWidth="1"/>
    <col min="2" max="3" width="14.21875" customWidth="1"/>
    <col min="4" max="4" width="14.6640625" customWidth="1"/>
    <col min="5" max="5" width="15.109375" customWidth="1"/>
    <col min="6" max="6" width="14.33203125" customWidth="1"/>
    <col min="7" max="7" width="15" customWidth="1"/>
    <col min="8" max="8" width="15.44140625" customWidth="1"/>
    <col min="9" max="9" width="13.77734375" customWidth="1"/>
    <col min="10" max="10" width="14.5546875" customWidth="1"/>
    <col min="11" max="11" width="14.77734375" customWidth="1"/>
    <col min="12" max="13" width="14.5546875" customWidth="1"/>
    <col min="14" max="14" width="13.5546875" customWidth="1"/>
  </cols>
  <sheetData>
    <row r="1" spans="1:18" ht="20.25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37</v>
      </c>
    </row>
    <row r="5" spans="1:18" ht="23.25" customHeight="1" thickBot="1" x14ac:dyDescent="0.3">
      <c r="A5" s="7" t="s">
        <v>14</v>
      </c>
      <c r="B5" s="8">
        <v>-179459.9</v>
      </c>
      <c r="C5" s="8">
        <f>B37</f>
        <v>-173550.39812</v>
      </c>
      <c r="D5" s="8">
        <f>C37</f>
        <v>-163458.7211</v>
      </c>
      <c r="E5" s="8">
        <f t="shared" ref="E5:G5" si="0">D37</f>
        <v>-152063.47685000001</v>
      </c>
      <c r="F5" s="8">
        <f>E37</f>
        <v>-147473.81105000002</v>
      </c>
      <c r="G5" s="8">
        <f t="shared" si="0"/>
        <v>-143532.24070000002</v>
      </c>
      <c r="H5" s="8">
        <f t="shared" ref="H5:H6" si="1">G37</f>
        <v>-142308.86917000002</v>
      </c>
      <c r="I5" s="8">
        <f t="shared" ref="I5:I6" si="2">H37</f>
        <v>-181974.14692000003</v>
      </c>
      <c r="J5" s="8">
        <f t="shared" ref="J5:J6" si="3">I37</f>
        <v>-177120.03541000001</v>
      </c>
      <c r="K5" s="8">
        <f t="shared" ref="K5:K6" si="4">J37</f>
        <v>-168976.07575000002</v>
      </c>
      <c r="L5" s="8">
        <f t="shared" ref="L5:L6" si="5">K37</f>
        <v>-171744.98024</v>
      </c>
      <c r="M5" s="8">
        <f t="shared" ref="M5:M6" si="6">L37</f>
        <v>-166250.31320999999</v>
      </c>
      <c r="N5" s="8">
        <f>B5</f>
        <v>-179459.9</v>
      </c>
    </row>
    <row r="6" spans="1:18" ht="21" customHeight="1" thickBot="1" x14ac:dyDescent="0.3">
      <c r="A6" s="7" t="s">
        <v>13</v>
      </c>
      <c r="B6" s="8">
        <v>-261542.02</v>
      </c>
      <c r="C6" s="8">
        <f>B38</f>
        <v>-249176.3</v>
      </c>
      <c r="D6" s="8">
        <f>C38</f>
        <v>-258783.87999999998</v>
      </c>
      <c r="E6" s="8">
        <f t="shared" ref="E6:G6" si="7">D38</f>
        <v>-256919.28999999998</v>
      </c>
      <c r="F6" s="8">
        <f>E38</f>
        <v>-265445.61</v>
      </c>
      <c r="G6" s="8">
        <f t="shared" si="7"/>
        <v>-266691.88999999996</v>
      </c>
      <c r="H6" s="8">
        <f t="shared" si="1"/>
        <v>-288035.02999999997</v>
      </c>
      <c r="I6" s="8">
        <f t="shared" si="2"/>
        <v>-266870.13999999996</v>
      </c>
      <c r="J6" s="8">
        <f t="shared" si="3"/>
        <v>-234424.14999999994</v>
      </c>
      <c r="K6" s="8">
        <f t="shared" si="4"/>
        <v>-232335.17999999993</v>
      </c>
      <c r="L6" s="8">
        <f t="shared" si="5"/>
        <v>-227213.61999999994</v>
      </c>
      <c r="M6" s="8">
        <f t="shared" si="6"/>
        <v>-238909.74999999994</v>
      </c>
      <c r="N6" s="8">
        <f>B6</f>
        <v>-261542.02</v>
      </c>
    </row>
    <row r="7" spans="1:18" ht="20.25" customHeight="1" thickBot="1" x14ac:dyDescent="0.3">
      <c r="A7" s="9" t="s">
        <v>12</v>
      </c>
      <c r="B7" s="10">
        <f>SUM(B8:B13)</f>
        <v>56479.839999999997</v>
      </c>
      <c r="C7" s="10">
        <f t="shared" ref="C7:H7" si="8">SUM(C8:C13)</f>
        <v>64487.46</v>
      </c>
      <c r="D7" s="10">
        <f t="shared" si="8"/>
        <v>54006.85</v>
      </c>
      <c r="E7" s="10">
        <f t="shared" si="8"/>
        <v>55509.599999999999</v>
      </c>
      <c r="F7" s="10">
        <f t="shared" si="8"/>
        <v>54006.85</v>
      </c>
      <c r="G7" s="10">
        <f t="shared" si="8"/>
        <v>66969.39</v>
      </c>
      <c r="H7" s="10">
        <f t="shared" si="8"/>
        <v>54017.85</v>
      </c>
      <c r="I7" s="10">
        <f>SUM(I8:I13)</f>
        <v>55437.43</v>
      </c>
      <c r="J7" s="10">
        <f>SUM(J8:J13)</f>
        <v>58994.080000000002</v>
      </c>
      <c r="K7" s="10">
        <f t="shared" ref="K7:M7" si="9">SUM(K8:K13)</f>
        <v>47078.729999999996</v>
      </c>
      <c r="L7" s="10">
        <f t="shared" si="9"/>
        <v>67786.790000000008</v>
      </c>
      <c r="M7" s="10">
        <f t="shared" si="9"/>
        <v>66599.33</v>
      </c>
      <c r="N7" s="10">
        <f>SUM(B7:M7)</f>
        <v>701374.2</v>
      </c>
    </row>
    <row r="8" spans="1:18" ht="24.75" customHeight="1" thickBot="1" x14ac:dyDescent="0.3">
      <c r="A8" s="4" t="s">
        <v>39</v>
      </c>
      <c r="B8" s="11">
        <f>48270.06+1699.65</f>
        <v>49969.71</v>
      </c>
      <c r="C8" s="11">
        <f>48270.06+1699.65</f>
        <v>49969.71</v>
      </c>
      <c r="D8" s="11">
        <f>48281.42+1700.05</f>
        <v>49981.47</v>
      </c>
      <c r="E8" s="11">
        <f>48281.42+1700.05</f>
        <v>49981.47</v>
      </c>
      <c r="F8" s="11">
        <f>48281.42+1700.05</f>
        <v>49981.47</v>
      </c>
      <c r="G8" s="11">
        <f>48285.68+1700.2</f>
        <v>49985.88</v>
      </c>
      <c r="H8" s="11">
        <f>48285.68+1700.2</f>
        <v>49985.88</v>
      </c>
      <c r="I8" s="11">
        <f>48285.68+1700.2</f>
        <v>49985.88</v>
      </c>
      <c r="J8" s="11">
        <f>48285.68+1700.2</f>
        <v>49985.88</v>
      </c>
      <c r="K8" s="11">
        <f>48285.68+1700.2</f>
        <v>49985.88</v>
      </c>
      <c r="L8" s="11">
        <f>60867.16+1700.2</f>
        <v>62567.360000000001</v>
      </c>
      <c r="M8" s="11">
        <f>60867.16+1700.2</f>
        <v>62567.360000000001</v>
      </c>
      <c r="N8" s="11">
        <f>SUM(B8:M8)</f>
        <v>624947.95000000007</v>
      </c>
    </row>
    <row r="9" spans="1:18" ht="24.75" customHeight="1" thickBot="1" x14ac:dyDescent="0.3">
      <c r="A9" s="4" t="s">
        <v>15</v>
      </c>
      <c r="B9" s="11">
        <v>0</v>
      </c>
      <c r="C9" s="11">
        <v>6044.92</v>
      </c>
      <c r="D9" s="11">
        <v>0</v>
      </c>
      <c r="E9" s="11">
        <v>0</v>
      </c>
      <c r="F9" s="11">
        <v>0</v>
      </c>
      <c r="G9" s="11">
        <v>12958.09</v>
      </c>
      <c r="H9" s="11">
        <v>0</v>
      </c>
      <c r="I9" s="11">
        <v>156.82</v>
      </c>
      <c r="J9" s="11">
        <v>0</v>
      </c>
      <c r="K9" s="11">
        <v>7182.56</v>
      </c>
      <c r="L9" s="11">
        <v>1187.46</v>
      </c>
      <c r="M9" s="11">
        <v>0</v>
      </c>
      <c r="N9" s="11">
        <f t="shared" ref="N9:N13" si="10">SUM(B9:M9)</f>
        <v>27529.850000000002</v>
      </c>
    </row>
    <row r="10" spans="1:18" ht="21.75" customHeight="1" thickBot="1" x14ac:dyDescent="0.3">
      <c r="A10" s="4" t="s">
        <v>16</v>
      </c>
      <c r="B10" s="11">
        <v>422.25</v>
      </c>
      <c r="C10" s="11">
        <v>2022.01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-14121.68</v>
      </c>
      <c r="L10" s="11">
        <v>0</v>
      </c>
      <c r="M10" s="11">
        <v>0</v>
      </c>
      <c r="N10" s="11">
        <f t="shared" si="10"/>
        <v>-11677.42</v>
      </c>
    </row>
    <row r="11" spans="1:18" ht="22.5" customHeight="1" thickBot="1" x14ac:dyDescent="0.3">
      <c r="A11" s="4" t="s">
        <v>17</v>
      </c>
      <c r="B11" s="11">
        <v>2062.41</v>
      </c>
      <c r="C11" s="11">
        <v>2425.35</v>
      </c>
      <c r="D11" s="11">
        <v>0</v>
      </c>
      <c r="E11" s="11">
        <v>1502.75</v>
      </c>
      <c r="F11" s="11">
        <v>0</v>
      </c>
      <c r="G11" s="11">
        <v>0</v>
      </c>
      <c r="H11" s="11">
        <v>0</v>
      </c>
      <c r="I11" s="11">
        <v>1262.76</v>
      </c>
      <c r="J11" s="11">
        <v>4976.2299999999996</v>
      </c>
      <c r="K11" s="11">
        <v>0</v>
      </c>
      <c r="L11" s="11">
        <v>0</v>
      </c>
      <c r="M11" s="11">
        <v>0</v>
      </c>
      <c r="N11" s="11">
        <f t="shared" si="10"/>
        <v>12229.5</v>
      </c>
    </row>
    <row r="12" spans="1:18" ht="22.5" customHeight="1" thickBot="1" x14ac:dyDescent="0.3">
      <c r="A12" s="4" t="s">
        <v>23</v>
      </c>
      <c r="B12" s="11">
        <v>368.47</v>
      </c>
      <c r="C12" s="11">
        <v>368.47</v>
      </c>
      <c r="D12" s="11">
        <v>368.38</v>
      </c>
      <c r="E12" s="11">
        <v>368.38</v>
      </c>
      <c r="F12" s="11">
        <v>368.38</v>
      </c>
      <c r="G12" s="11">
        <v>368.42</v>
      </c>
      <c r="H12" s="11">
        <v>374.97</v>
      </c>
      <c r="I12" s="11">
        <v>374.97</v>
      </c>
      <c r="J12" s="11">
        <v>374.97</v>
      </c>
      <c r="K12" s="11">
        <v>374.97</v>
      </c>
      <c r="L12" s="11">
        <v>374.97</v>
      </c>
      <c r="M12" s="11">
        <v>374.97</v>
      </c>
      <c r="N12" s="11">
        <f t="shared" si="10"/>
        <v>4460.3200000000015</v>
      </c>
    </row>
    <row r="13" spans="1:18" ht="24" customHeight="1" thickBot="1" x14ac:dyDescent="0.3">
      <c r="A13" s="4" t="s">
        <v>24</v>
      </c>
      <c r="B13" s="11">
        <v>3657</v>
      </c>
      <c r="C13" s="11">
        <v>3657</v>
      </c>
      <c r="D13" s="11">
        <v>3657</v>
      </c>
      <c r="E13" s="11">
        <v>3657</v>
      </c>
      <c r="F13" s="11">
        <v>3657</v>
      </c>
      <c r="G13" s="11">
        <v>3657</v>
      </c>
      <c r="H13" s="11">
        <v>3657</v>
      </c>
      <c r="I13" s="11">
        <v>3657</v>
      </c>
      <c r="J13" s="11">
        <v>3657</v>
      </c>
      <c r="K13" s="11">
        <v>3657</v>
      </c>
      <c r="L13" s="11">
        <v>3657</v>
      </c>
      <c r="M13" s="11">
        <v>3657</v>
      </c>
      <c r="N13" s="11">
        <f t="shared" si="10"/>
        <v>43884</v>
      </c>
    </row>
    <row r="14" spans="1:18" ht="20.25" customHeight="1" thickBot="1" x14ac:dyDescent="0.3">
      <c r="A14" s="12" t="s">
        <v>8</v>
      </c>
      <c r="B14" s="13">
        <f>SUM(B15:B20)</f>
        <v>68845.56</v>
      </c>
      <c r="C14" s="13">
        <f t="shared" ref="C14:H14" si="11">SUM(C15:C20)</f>
        <v>54879.880000000005</v>
      </c>
      <c r="D14" s="13">
        <f t="shared" si="11"/>
        <v>55871.439999999995</v>
      </c>
      <c r="E14" s="13">
        <f t="shared" si="11"/>
        <v>46983.28</v>
      </c>
      <c r="F14" s="13">
        <f t="shared" si="11"/>
        <v>52760.570000000007</v>
      </c>
      <c r="G14" s="13">
        <f t="shared" si="11"/>
        <v>45626.249999999993</v>
      </c>
      <c r="H14" s="13">
        <f t="shared" si="11"/>
        <v>75182.740000000005</v>
      </c>
      <c r="I14" s="13">
        <f>SUM(I15:I20)</f>
        <v>87883.420000000013</v>
      </c>
      <c r="J14" s="13">
        <f>SUM(J15:J20)</f>
        <v>61083.049999999988</v>
      </c>
      <c r="K14" s="13">
        <f t="shared" ref="K14:M14" si="12">SUM(K15:K20)</f>
        <v>52200.29</v>
      </c>
      <c r="L14" s="13">
        <f t="shared" si="12"/>
        <v>56090.659999999996</v>
      </c>
      <c r="M14" s="13">
        <f t="shared" si="12"/>
        <v>131135.12</v>
      </c>
      <c r="N14" s="13">
        <f>SUM(B14:M14)</f>
        <v>788542.26</v>
      </c>
    </row>
    <row r="15" spans="1:18" ht="24" customHeight="1" thickBot="1" x14ac:dyDescent="0.3">
      <c r="A15" s="4" t="s">
        <v>40</v>
      </c>
      <c r="B15" s="11">
        <f>58330.62+1691+1022.09</f>
        <v>61043.71</v>
      </c>
      <c r="C15" s="11">
        <f>46576.4+1760.04+100+200</f>
        <v>48636.44</v>
      </c>
      <c r="D15" s="11">
        <f>42269.38+1439.93+50</f>
        <v>43759.31</v>
      </c>
      <c r="E15" s="11">
        <f>41320.1+1541.25+100</f>
        <v>42961.35</v>
      </c>
      <c r="F15" s="11">
        <f>45740.78+1428.3+150+200</f>
        <v>47519.08</v>
      </c>
      <c r="G15" s="11">
        <f>40329.09+1644.35+300</f>
        <v>42273.439999999995</v>
      </c>
      <c r="H15" s="11">
        <f>55880.44+1779.34+60.48+31.28+276.15+703.63</f>
        <v>58731.32</v>
      </c>
      <c r="I15" s="11">
        <f>81248.21+1585.8</f>
        <v>82834.010000000009</v>
      </c>
      <c r="J15" s="11">
        <f>54585.63+1488.6</f>
        <v>56074.229999999996</v>
      </c>
      <c r="K15" s="11">
        <f>42705.3+1471.35</f>
        <v>44176.65</v>
      </c>
      <c r="L15" s="11">
        <f>44590.09+1604.13</f>
        <v>46194.219999999994</v>
      </c>
      <c r="M15" s="11">
        <f>118679.34+1955.71</f>
        <v>120635.05</v>
      </c>
      <c r="N15" s="11">
        <f>SUM(B15:M15)</f>
        <v>694838.81</v>
      </c>
    </row>
    <row r="16" spans="1:18" ht="26.25" customHeight="1" thickBot="1" x14ac:dyDescent="0.3">
      <c r="A16" s="4" t="s">
        <v>15</v>
      </c>
      <c r="B16" s="11">
        <v>878.52</v>
      </c>
      <c r="C16" s="11">
        <v>168.92</v>
      </c>
      <c r="D16" s="11">
        <v>4970.12</v>
      </c>
      <c r="E16" s="11">
        <v>167.33</v>
      </c>
      <c r="F16" s="11">
        <v>186.41</v>
      </c>
      <c r="G16" s="11">
        <v>0</v>
      </c>
      <c r="H16" s="11">
        <v>10766.34</v>
      </c>
      <c r="I16" s="11">
        <v>1019.58</v>
      </c>
      <c r="J16" s="11">
        <v>380.78</v>
      </c>
      <c r="K16" s="11">
        <v>4.43</v>
      </c>
      <c r="L16" s="11">
        <v>6291.59</v>
      </c>
      <c r="M16" s="11">
        <v>3345.46</v>
      </c>
      <c r="N16" s="11">
        <f t="shared" ref="N16:N20" si="13">SUM(B16:M16)</f>
        <v>28179.48</v>
      </c>
    </row>
    <row r="17" spans="1:15" ht="26.25" customHeight="1" thickBot="1" x14ac:dyDescent="0.3">
      <c r="A17" s="4" t="s">
        <v>16</v>
      </c>
      <c r="B17" s="11">
        <v>878.39</v>
      </c>
      <c r="C17" s="11">
        <v>520.74</v>
      </c>
      <c r="D17" s="11">
        <v>1678.64</v>
      </c>
      <c r="E17" s="11">
        <v>63.68</v>
      </c>
      <c r="F17" s="11">
        <v>76.260000000000005</v>
      </c>
      <c r="G17" s="11">
        <v>0</v>
      </c>
      <c r="H17" s="11">
        <v>139.61000000000001</v>
      </c>
      <c r="I17" s="11">
        <v>26.6</v>
      </c>
      <c r="J17" s="11">
        <v>45.84</v>
      </c>
      <c r="K17" s="11">
        <v>0</v>
      </c>
      <c r="L17" s="11">
        <v>0</v>
      </c>
      <c r="M17" s="11">
        <v>54.63</v>
      </c>
      <c r="N17" s="11">
        <f t="shared" si="13"/>
        <v>3484.3900000000008</v>
      </c>
    </row>
    <row r="18" spans="1:15" ht="24" customHeight="1" thickBot="1" x14ac:dyDescent="0.3">
      <c r="A18" s="4" t="s">
        <v>17</v>
      </c>
      <c r="B18" s="11">
        <v>1196.47</v>
      </c>
      <c r="C18" s="11">
        <v>1847.36</v>
      </c>
      <c r="D18" s="11">
        <v>2141.02</v>
      </c>
      <c r="E18" s="11">
        <v>132.58000000000001</v>
      </c>
      <c r="F18" s="11">
        <v>1325.07</v>
      </c>
      <c r="G18" s="11">
        <v>68.540000000000006</v>
      </c>
      <c r="H18" s="11">
        <v>748.93</v>
      </c>
      <c r="I18" s="11">
        <v>127.01</v>
      </c>
      <c r="J18" s="11">
        <v>1311.64</v>
      </c>
      <c r="K18" s="11">
        <v>4286.32</v>
      </c>
      <c r="L18" s="11">
        <v>214.7</v>
      </c>
      <c r="M18" s="11">
        <v>2084.6999999999998</v>
      </c>
      <c r="N18" s="11">
        <f t="shared" si="13"/>
        <v>15484.34</v>
      </c>
    </row>
    <row r="19" spans="1:15" ht="24" customHeight="1" thickBot="1" x14ac:dyDescent="0.3">
      <c r="A19" s="4" t="s">
        <v>23</v>
      </c>
      <c r="B19" s="11">
        <v>321.39</v>
      </c>
      <c r="C19" s="11">
        <v>367.62</v>
      </c>
      <c r="D19" s="11">
        <v>355.32</v>
      </c>
      <c r="E19" s="11">
        <v>325.33999999999997</v>
      </c>
      <c r="F19" s="11">
        <v>320.75</v>
      </c>
      <c r="G19" s="11">
        <v>316.27</v>
      </c>
      <c r="H19" s="11">
        <v>396.44</v>
      </c>
      <c r="I19" s="11">
        <v>376.22</v>
      </c>
      <c r="J19" s="11">
        <v>355.56</v>
      </c>
      <c r="K19" s="11">
        <v>340.89</v>
      </c>
      <c r="L19" s="11">
        <v>362.07</v>
      </c>
      <c r="M19" s="11">
        <v>690.06</v>
      </c>
      <c r="N19" s="11">
        <f t="shared" si="13"/>
        <v>4527.9299999999994</v>
      </c>
    </row>
    <row r="20" spans="1:15" ht="21" customHeight="1" thickBot="1" x14ac:dyDescent="0.3">
      <c r="A20" s="4" t="s">
        <v>24</v>
      </c>
      <c r="B20" s="14">
        <v>4527.08</v>
      </c>
      <c r="C20" s="14">
        <v>3338.8</v>
      </c>
      <c r="D20" s="14">
        <v>2967.03</v>
      </c>
      <c r="E20" s="14">
        <v>3333</v>
      </c>
      <c r="F20" s="14">
        <v>3333</v>
      </c>
      <c r="G20" s="14">
        <v>2968</v>
      </c>
      <c r="H20" s="14">
        <v>4400.1000000000004</v>
      </c>
      <c r="I20" s="14">
        <v>3500</v>
      </c>
      <c r="J20" s="14">
        <v>2915</v>
      </c>
      <c r="K20" s="11">
        <v>3392</v>
      </c>
      <c r="L20" s="11">
        <v>3028.08</v>
      </c>
      <c r="M20" s="11">
        <v>4325.22</v>
      </c>
      <c r="N20" s="11">
        <f t="shared" si="13"/>
        <v>42027.310000000005</v>
      </c>
      <c r="O20" s="3"/>
    </row>
    <row r="21" spans="1:15" ht="21.75" customHeight="1" thickBot="1" x14ac:dyDescent="0.3">
      <c r="A21" s="15" t="s">
        <v>22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/>
    </row>
    <row r="22" spans="1:15" ht="19.5" customHeight="1" thickBot="1" x14ac:dyDescent="0.3">
      <c r="A22" s="4" t="s">
        <v>1</v>
      </c>
      <c r="B22" s="11">
        <f t="shared" ref="B22:M22" si="14">3400.7*0.55</f>
        <v>1870.385</v>
      </c>
      <c r="C22" s="11">
        <f t="shared" si="14"/>
        <v>1870.385</v>
      </c>
      <c r="D22" s="11">
        <f t="shared" si="14"/>
        <v>1870.385</v>
      </c>
      <c r="E22" s="11">
        <f t="shared" si="14"/>
        <v>1870.385</v>
      </c>
      <c r="F22" s="11">
        <f t="shared" si="14"/>
        <v>1870.385</v>
      </c>
      <c r="G22" s="11">
        <f t="shared" si="14"/>
        <v>1870.385</v>
      </c>
      <c r="H22" s="11">
        <f t="shared" si="14"/>
        <v>1870.385</v>
      </c>
      <c r="I22" s="11">
        <f t="shared" si="14"/>
        <v>1870.385</v>
      </c>
      <c r="J22" s="11">
        <f t="shared" si="14"/>
        <v>1870.385</v>
      </c>
      <c r="K22" s="11">
        <f t="shared" si="14"/>
        <v>1870.385</v>
      </c>
      <c r="L22" s="11">
        <f t="shared" si="14"/>
        <v>1870.385</v>
      </c>
      <c r="M22" s="11">
        <f t="shared" si="14"/>
        <v>1870.385</v>
      </c>
      <c r="N22" s="11">
        <f>SUM(B22:M22)</f>
        <v>22444.619999999995</v>
      </c>
    </row>
    <row r="23" spans="1:15" ht="22.5" customHeight="1" thickBot="1" x14ac:dyDescent="0.3">
      <c r="A23" s="4" t="s">
        <v>2</v>
      </c>
      <c r="B23" s="11">
        <f t="shared" ref="B23:M23" si="15">3400.7*0.17</f>
        <v>578.11900000000003</v>
      </c>
      <c r="C23" s="11">
        <f t="shared" si="15"/>
        <v>578.11900000000003</v>
      </c>
      <c r="D23" s="11">
        <f t="shared" si="15"/>
        <v>578.11900000000003</v>
      </c>
      <c r="E23" s="11">
        <f t="shared" si="15"/>
        <v>578.11900000000003</v>
      </c>
      <c r="F23" s="11">
        <f t="shared" si="15"/>
        <v>578.11900000000003</v>
      </c>
      <c r="G23" s="11">
        <f t="shared" si="15"/>
        <v>578.11900000000003</v>
      </c>
      <c r="H23" s="11">
        <f t="shared" si="15"/>
        <v>578.11900000000003</v>
      </c>
      <c r="I23" s="11">
        <f t="shared" si="15"/>
        <v>578.11900000000003</v>
      </c>
      <c r="J23" s="11">
        <f t="shared" si="15"/>
        <v>578.11900000000003</v>
      </c>
      <c r="K23" s="11">
        <f t="shared" si="15"/>
        <v>578.11900000000003</v>
      </c>
      <c r="L23" s="11">
        <f t="shared" si="15"/>
        <v>578.11900000000003</v>
      </c>
      <c r="M23" s="11">
        <f t="shared" si="15"/>
        <v>578.11900000000003</v>
      </c>
      <c r="N23" s="11">
        <f t="shared" ref="N23:N34" si="16">SUM(B23:M23)</f>
        <v>6937.427999999999</v>
      </c>
    </row>
    <row r="24" spans="1:15" ht="21" customHeight="1" thickBot="1" x14ac:dyDescent="0.3">
      <c r="A24" s="4" t="s">
        <v>3</v>
      </c>
      <c r="B24" s="11">
        <f>56479.84*2.3%</f>
        <v>1299.0363199999999</v>
      </c>
      <c r="C24" s="11">
        <f>64487.46*2.3%</f>
        <v>1483.2115799999999</v>
      </c>
      <c r="D24" s="11">
        <f>54006.85*2.3%</f>
        <v>1242.1575499999999</v>
      </c>
      <c r="E24" s="11">
        <f>55509.6*2.3%</f>
        <v>1276.7208000000001</v>
      </c>
      <c r="F24" s="11">
        <f>54006.85*2.3%</f>
        <v>1242.1575499999999</v>
      </c>
      <c r="G24" s="11">
        <f>66969.39*2.3%</f>
        <v>1540.2959699999999</v>
      </c>
      <c r="H24" s="11">
        <f>54017.85*2.3%</f>
        <v>1242.4105500000001</v>
      </c>
      <c r="I24" s="11">
        <f>55437.43*2.3%</f>
        <v>1275.06089</v>
      </c>
      <c r="J24" s="11">
        <f>58994.08*2.3%</f>
        <v>1356.86384</v>
      </c>
      <c r="K24" s="11">
        <f>47078.73*2.3%</f>
        <v>1082.81079</v>
      </c>
      <c r="L24" s="11">
        <f>67786.79*2.3%</f>
        <v>1559.0961699999998</v>
      </c>
      <c r="M24" s="11">
        <f>66599.33*2.3%</f>
        <v>1531.78459</v>
      </c>
      <c r="N24" s="11">
        <f t="shared" si="16"/>
        <v>16131.606599999999</v>
      </c>
    </row>
    <row r="25" spans="1:15" ht="23.25" customHeight="1" thickBot="1" x14ac:dyDescent="0.3">
      <c r="A25" s="4" t="s">
        <v>4</v>
      </c>
      <c r="B25" s="11">
        <f>68845.56*3%</f>
        <v>2065.3667999999998</v>
      </c>
      <c r="C25" s="11">
        <f>54879.88*3%</f>
        <v>1646.3963999999999</v>
      </c>
      <c r="D25" s="11">
        <f>55871.44*3%</f>
        <v>1676.1432</v>
      </c>
      <c r="E25" s="11">
        <f>46983.28*3%</f>
        <v>1409.4983999999999</v>
      </c>
      <c r="F25" s="11">
        <f>52760.57*3%</f>
        <v>1582.8171</v>
      </c>
      <c r="G25" s="11">
        <f>45626.25*3%</f>
        <v>1368.7874999999999</v>
      </c>
      <c r="H25" s="11">
        <f>75182.74*3%</f>
        <v>2255.4821999999999</v>
      </c>
      <c r="I25" s="11">
        <f>87883.42*3%</f>
        <v>2636.5025999999998</v>
      </c>
      <c r="J25" s="11">
        <f>61083.05*3%</f>
        <v>1832.4915000000001</v>
      </c>
      <c r="K25" s="11">
        <f>52200.29*3%</f>
        <v>1566.0086999999999</v>
      </c>
      <c r="L25" s="11">
        <f>56090.66*3%</f>
        <v>1682.7198000000001</v>
      </c>
      <c r="M25" s="11">
        <f>131135.12*3%</f>
        <v>3934.0535999999997</v>
      </c>
      <c r="N25" s="11">
        <f t="shared" si="16"/>
        <v>23656.267799999998</v>
      </c>
    </row>
    <row r="26" spans="1:15" ht="23.25" customHeight="1" thickBot="1" x14ac:dyDescent="0.3">
      <c r="A26" s="4" t="s">
        <v>9</v>
      </c>
      <c r="B26" s="11">
        <v>25165.18</v>
      </c>
      <c r="C26" s="11">
        <v>25165.18</v>
      </c>
      <c r="D26" s="11">
        <v>25165.18</v>
      </c>
      <c r="E26" s="11">
        <v>25165.18</v>
      </c>
      <c r="F26" s="11">
        <v>25165.18</v>
      </c>
      <c r="G26" s="11">
        <v>25165.18</v>
      </c>
      <c r="H26" s="11">
        <v>25165.18</v>
      </c>
      <c r="I26" s="11">
        <v>25165.18</v>
      </c>
      <c r="J26" s="11">
        <v>25165.18</v>
      </c>
      <c r="K26" s="11">
        <v>25165.18</v>
      </c>
      <c r="L26" s="21">
        <f>3400.7*8.5</f>
        <v>28905.949999999997</v>
      </c>
      <c r="M26" s="21">
        <f>3400.7*8.5</f>
        <v>28905.949999999997</v>
      </c>
      <c r="N26" s="11">
        <f t="shared" si="16"/>
        <v>309463.69999999995</v>
      </c>
    </row>
    <row r="27" spans="1:15" ht="26.25" customHeight="1" thickBot="1" x14ac:dyDescent="0.3">
      <c r="A27" s="4" t="s">
        <v>18</v>
      </c>
      <c r="B27" s="11">
        <v>14523.97</v>
      </c>
      <c r="C27" s="11">
        <v>0</v>
      </c>
      <c r="D27" s="11">
        <v>0</v>
      </c>
      <c r="E27" s="11">
        <v>0</v>
      </c>
      <c r="F27" s="11">
        <v>4819.43</v>
      </c>
      <c r="G27" s="11">
        <v>0</v>
      </c>
      <c r="H27" s="11">
        <f>162.06+0</f>
        <v>162.06</v>
      </c>
      <c r="I27" s="11">
        <v>0</v>
      </c>
      <c r="J27" s="11">
        <f>6503.37+907.35</f>
        <v>7410.72</v>
      </c>
      <c r="K27" s="11">
        <f>1193.37+31.79</f>
        <v>1225.1599999999999</v>
      </c>
      <c r="L27" s="11">
        <f>0</f>
        <v>0</v>
      </c>
      <c r="M27" s="11">
        <f>3011.22+13.93</f>
        <v>3025.1499999999996</v>
      </c>
      <c r="N27" s="11">
        <f t="shared" si="16"/>
        <v>31166.490000000005</v>
      </c>
    </row>
    <row r="28" spans="1:15" ht="26.25" customHeight="1" thickBot="1" x14ac:dyDescent="0.3">
      <c r="A28" s="4" t="s">
        <v>19</v>
      </c>
      <c r="B28" s="11">
        <v>2086.4899999999998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 t="shared" si="16"/>
        <v>2086.4899999999998</v>
      </c>
    </row>
    <row r="29" spans="1:15" ht="26.25" customHeight="1" thickBot="1" x14ac:dyDescent="0.3">
      <c r="A29" s="4" t="s">
        <v>20</v>
      </c>
      <c r="B29" s="11">
        <v>2502.5</v>
      </c>
      <c r="C29" s="11">
        <v>0</v>
      </c>
      <c r="D29" s="11">
        <v>1550.5</v>
      </c>
      <c r="E29" s="11">
        <v>0</v>
      </c>
      <c r="F29" s="11">
        <v>0</v>
      </c>
      <c r="G29" s="11">
        <v>0</v>
      </c>
      <c r="H29" s="11">
        <v>1302.8499999999999</v>
      </c>
      <c r="I29" s="11">
        <v>5134.33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6"/>
        <v>10490.18</v>
      </c>
    </row>
    <row r="30" spans="1:15" ht="26.25" customHeight="1" thickBot="1" x14ac:dyDescent="0.3">
      <c r="A30" s="4" t="s">
        <v>23</v>
      </c>
      <c r="B30" s="11">
        <v>380.22</v>
      </c>
      <c r="C30" s="11">
        <v>380.22</v>
      </c>
      <c r="D30" s="11">
        <v>380.22</v>
      </c>
      <c r="E30" s="11">
        <v>380.22</v>
      </c>
      <c r="F30" s="11">
        <v>380.22</v>
      </c>
      <c r="G30" s="11">
        <v>380.22</v>
      </c>
      <c r="H30" s="11">
        <v>387.04</v>
      </c>
      <c r="I30" s="11">
        <v>387.04</v>
      </c>
      <c r="J30" s="11">
        <v>387.04</v>
      </c>
      <c r="K30" s="11">
        <v>387.04</v>
      </c>
      <c r="L30" s="11">
        <v>387.04</v>
      </c>
      <c r="M30" s="11">
        <v>387.04</v>
      </c>
      <c r="N30" s="11">
        <f t="shared" si="16"/>
        <v>4603.5600000000004</v>
      </c>
    </row>
    <row r="31" spans="1:15" ht="22.5" customHeight="1" thickBot="1" x14ac:dyDescent="0.3">
      <c r="A31" s="4" t="s">
        <v>6</v>
      </c>
      <c r="B31" s="11">
        <f>3400.7*2.13</f>
        <v>7243.4909999999991</v>
      </c>
      <c r="C31" s="11">
        <f t="shared" ref="C31:K31" si="17">3400.7*2.13</f>
        <v>7243.4909999999991</v>
      </c>
      <c r="D31" s="11">
        <f t="shared" si="17"/>
        <v>7243.4909999999991</v>
      </c>
      <c r="E31" s="11">
        <f t="shared" si="17"/>
        <v>7243.4909999999991</v>
      </c>
      <c r="F31" s="11">
        <f t="shared" si="17"/>
        <v>7243.4909999999991</v>
      </c>
      <c r="G31" s="11">
        <f t="shared" si="17"/>
        <v>7243.4909999999991</v>
      </c>
      <c r="H31" s="11">
        <f t="shared" si="17"/>
        <v>7243.4909999999991</v>
      </c>
      <c r="I31" s="11">
        <f t="shared" si="17"/>
        <v>7243.4909999999991</v>
      </c>
      <c r="J31" s="11">
        <f t="shared" si="17"/>
        <v>7243.4909999999991</v>
      </c>
      <c r="K31" s="11">
        <f t="shared" si="17"/>
        <v>7243.4909999999991</v>
      </c>
      <c r="L31" s="21">
        <f>3400.7*2.69</f>
        <v>9147.8829999999998</v>
      </c>
      <c r="M31" s="21">
        <f>3400.7*2.69</f>
        <v>9147.8829999999998</v>
      </c>
      <c r="N31" s="11">
        <f t="shared" si="16"/>
        <v>90730.676000000007</v>
      </c>
    </row>
    <row r="32" spans="1:15" ht="24.75" customHeight="1" thickBot="1" x14ac:dyDescent="0.3">
      <c r="A32" s="4" t="s">
        <v>38</v>
      </c>
      <c r="B32" s="11">
        <f t="shared" ref="B32:F32" si="18">1140+420</f>
        <v>1560</v>
      </c>
      <c r="C32" s="11">
        <f t="shared" si="18"/>
        <v>1560</v>
      </c>
      <c r="D32" s="11">
        <f t="shared" si="18"/>
        <v>1560</v>
      </c>
      <c r="E32" s="11">
        <f t="shared" si="18"/>
        <v>1560</v>
      </c>
      <c r="F32" s="11">
        <f t="shared" si="18"/>
        <v>1560</v>
      </c>
      <c r="G32" s="11">
        <f t="shared" ref="G32:M32" si="19">1140+420</f>
        <v>1560</v>
      </c>
      <c r="H32" s="11">
        <f t="shared" si="19"/>
        <v>1560</v>
      </c>
      <c r="I32" s="11">
        <f t="shared" si="19"/>
        <v>1560</v>
      </c>
      <c r="J32" s="11">
        <f t="shared" si="19"/>
        <v>1560</v>
      </c>
      <c r="K32" s="11">
        <f t="shared" si="19"/>
        <v>1560</v>
      </c>
      <c r="L32" s="11">
        <f t="shared" si="19"/>
        <v>1560</v>
      </c>
      <c r="M32" s="11">
        <f t="shared" si="19"/>
        <v>1560</v>
      </c>
      <c r="N32" s="11">
        <f t="shared" si="16"/>
        <v>18720</v>
      </c>
    </row>
    <row r="33" spans="1:14" ht="21" customHeight="1" thickBot="1" x14ac:dyDescent="0.3">
      <c r="A33" s="4" t="s">
        <v>24</v>
      </c>
      <c r="B33" s="11">
        <v>2960</v>
      </c>
      <c r="C33" s="11">
        <v>4280</v>
      </c>
      <c r="D33" s="11">
        <v>3210</v>
      </c>
      <c r="E33" s="11">
        <v>2910</v>
      </c>
      <c r="F33" s="11">
        <v>0</v>
      </c>
      <c r="G33" s="11">
        <v>0</v>
      </c>
      <c r="H33" s="11">
        <v>6926</v>
      </c>
      <c r="I33" s="11">
        <v>3215</v>
      </c>
      <c r="J33" s="11">
        <v>2910</v>
      </c>
      <c r="K33" s="11">
        <v>3210</v>
      </c>
      <c r="L33" s="11">
        <v>2815</v>
      </c>
      <c r="M33" s="11">
        <v>4050</v>
      </c>
      <c r="N33" s="11">
        <f t="shared" si="16"/>
        <v>36486</v>
      </c>
    </row>
    <row r="34" spans="1:14" ht="21" customHeight="1" thickBot="1" x14ac:dyDescent="0.3">
      <c r="A34" s="4" t="s">
        <v>10</v>
      </c>
      <c r="B34" s="11">
        <f>701.3</f>
        <v>701.3</v>
      </c>
      <c r="C34" s="11">
        <f>581.2</f>
        <v>581.20000000000005</v>
      </c>
      <c r="D34" s="11">
        <v>0</v>
      </c>
      <c r="E34" s="11">
        <v>0</v>
      </c>
      <c r="F34" s="11">
        <f>4377.2</f>
        <v>4377.2</v>
      </c>
      <c r="G34" s="11">
        <f>2843+1853.4</f>
        <v>4696.3999999999996</v>
      </c>
      <c r="H34" s="11">
        <f>1580+64575</f>
        <v>66155</v>
      </c>
      <c r="I34" s="11">
        <f>7159.8+11450+15354.4</f>
        <v>33964.199999999997</v>
      </c>
      <c r="J34" s="11">
        <f>500+1361.8+763</f>
        <v>2624.8</v>
      </c>
      <c r="K34" s="11">
        <f>9311+1770</f>
        <v>11081</v>
      </c>
      <c r="L34" s="11">
        <f>2089.8</f>
        <v>2089.8000000000002</v>
      </c>
      <c r="M34" s="11">
        <f>1885.7</f>
        <v>1885.7</v>
      </c>
      <c r="N34" s="11">
        <f t="shared" si="16"/>
        <v>128156.6</v>
      </c>
    </row>
    <row r="35" spans="1:14" ht="22.5" customHeight="1" thickBot="1" x14ac:dyDescent="0.3">
      <c r="A35" s="9" t="s">
        <v>21</v>
      </c>
      <c r="B35" s="10">
        <f t="shared" ref="B35:M35" si="20">SUM(B22:B34)</f>
        <v>62936.058120000002</v>
      </c>
      <c r="C35" s="10">
        <f t="shared" si="20"/>
        <v>44788.202980000002</v>
      </c>
      <c r="D35" s="10">
        <f t="shared" si="20"/>
        <v>44476.195749999999</v>
      </c>
      <c r="E35" s="10">
        <f t="shared" si="20"/>
        <v>42393.614200000004</v>
      </c>
      <c r="F35" s="10">
        <f t="shared" si="20"/>
        <v>48818.999650000005</v>
      </c>
      <c r="G35" s="10">
        <f t="shared" si="20"/>
        <v>44402.878470000003</v>
      </c>
      <c r="H35" s="10">
        <f t="shared" si="20"/>
        <v>114848.01775</v>
      </c>
      <c r="I35" s="10">
        <f t="shared" si="20"/>
        <v>83029.308489999996</v>
      </c>
      <c r="J35" s="10">
        <f t="shared" si="20"/>
        <v>52939.090340000002</v>
      </c>
      <c r="K35" s="10">
        <f t="shared" si="20"/>
        <v>54969.194490000002</v>
      </c>
      <c r="L35" s="10">
        <f t="shared" si="20"/>
        <v>50595.992969999999</v>
      </c>
      <c r="M35" s="10">
        <f t="shared" si="20"/>
        <v>56876.065189999994</v>
      </c>
      <c r="N35" s="10">
        <f>SUM(B35:M35)</f>
        <v>701073.61840000004</v>
      </c>
    </row>
    <row r="36" spans="1:14" ht="23.25" customHeight="1" thickBot="1" x14ac:dyDescent="0.3">
      <c r="A36" s="4" t="s">
        <v>5</v>
      </c>
      <c r="B36" s="18">
        <f t="shared" ref="B36:N36" si="21">B14-B35</f>
        <v>5909.5018799999962</v>
      </c>
      <c r="C36" s="18">
        <f t="shared" si="21"/>
        <v>10091.677020000003</v>
      </c>
      <c r="D36" s="18">
        <f t="shared" si="21"/>
        <v>11395.244249999996</v>
      </c>
      <c r="E36" s="18">
        <f t="shared" si="21"/>
        <v>4589.6657999999952</v>
      </c>
      <c r="F36" s="18">
        <f t="shared" si="21"/>
        <v>3941.5703500000018</v>
      </c>
      <c r="G36" s="18">
        <f t="shared" si="21"/>
        <v>1223.3715299999894</v>
      </c>
      <c r="H36" s="18">
        <f t="shared" si="21"/>
        <v>-39665.277749999994</v>
      </c>
      <c r="I36" s="18">
        <f t="shared" si="21"/>
        <v>4854.111510000017</v>
      </c>
      <c r="J36" s="18">
        <f t="shared" si="21"/>
        <v>8143.9596599999859</v>
      </c>
      <c r="K36" s="18">
        <f t="shared" si="21"/>
        <v>-2768.9044900000008</v>
      </c>
      <c r="L36" s="18">
        <f t="shared" si="21"/>
        <v>5494.6670299999969</v>
      </c>
      <c r="M36" s="18">
        <f t="shared" si="21"/>
        <v>74259.054810000001</v>
      </c>
      <c r="N36" s="18">
        <f t="shared" si="21"/>
        <v>87468.641599999974</v>
      </c>
    </row>
    <row r="37" spans="1:14" ht="23.25" customHeight="1" thickBot="1" x14ac:dyDescent="0.3">
      <c r="A37" s="4" t="s">
        <v>7</v>
      </c>
      <c r="B37" s="19">
        <f t="shared" ref="B37:N37" si="22">B5+B36</f>
        <v>-173550.39812</v>
      </c>
      <c r="C37" s="19">
        <f t="shared" si="22"/>
        <v>-163458.7211</v>
      </c>
      <c r="D37" s="19">
        <f t="shared" si="22"/>
        <v>-152063.47685000001</v>
      </c>
      <c r="E37" s="19">
        <f t="shared" si="22"/>
        <v>-147473.81105000002</v>
      </c>
      <c r="F37" s="19">
        <f t="shared" si="22"/>
        <v>-143532.24070000002</v>
      </c>
      <c r="G37" s="19">
        <f t="shared" si="22"/>
        <v>-142308.86917000002</v>
      </c>
      <c r="H37" s="19">
        <f t="shared" si="22"/>
        <v>-181974.14692000003</v>
      </c>
      <c r="I37" s="19">
        <f t="shared" si="22"/>
        <v>-177120.03541000001</v>
      </c>
      <c r="J37" s="19">
        <f t="shared" si="22"/>
        <v>-168976.07575000002</v>
      </c>
      <c r="K37" s="19">
        <f t="shared" si="22"/>
        <v>-171744.98024</v>
      </c>
      <c r="L37" s="19">
        <f t="shared" si="22"/>
        <v>-166250.31320999999</v>
      </c>
      <c r="M37" s="19">
        <f t="shared" si="22"/>
        <v>-91991.258399999992</v>
      </c>
      <c r="N37" s="19">
        <f t="shared" si="22"/>
        <v>-91991.258400000021</v>
      </c>
    </row>
    <row r="38" spans="1:14" ht="27" customHeight="1" thickBot="1" x14ac:dyDescent="0.3">
      <c r="A38" s="15" t="s">
        <v>11</v>
      </c>
      <c r="B38" s="20">
        <f>B6+B14-B7</f>
        <v>-249176.3</v>
      </c>
      <c r="C38" s="20">
        <f t="shared" ref="C38:N38" si="23">C6+C14-C7</f>
        <v>-258783.87999999998</v>
      </c>
      <c r="D38" s="20">
        <f t="shared" si="23"/>
        <v>-256919.28999999998</v>
      </c>
      <c r="E38" s="20">
        <f>E6+E14-E7</f>
        <v>-265445.61</v>
      </c>
      <c r="F38" s="20">
        <f t="shared" si="23"/>
        <v>-266691.88999999996</v>
      </c>
      <c r="G38" s="20">
        <f t="shared" si="23"/>
        <v>-288035.02999999997</v>
      </c>
      <c r="H38" s="20">
        <f t="shared" si="23"/>
        <v>-266870.13999999996</v>
      </c>
      <c r="I38" s="20">
        <f t="shared" si="23"/>
        <v>-234424.14999999994</v>
      </c>
      <c r="J38" s="20">
        <f t="shared" si="23"/>
        <v>-232335.17999999993</v>
      </c>
      <c r="K38" s="20">
        <f t="shared" si="23"/>
        <v>-227213.61999999994</v>
      </c>
      <c r="L38" s="20">
        <f t="shared" si="23"/>
        <v>-238909.74999999994</v>
      </c>
      <c r="M38" s="20">
        <f t="shared" si="23"/>
        <v>-174373.95999999996</v>
      </c>
      <c r="N38" s="20">
        <f t="shared" si="23"/>
        <v>-174373.95999999996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2022-03-17T06:42:07Z</cp:lastPrinted>
  <dcterms:created xsi:type="dcterms:W3CDTF">2011-06-06T03:25:48Z</dcterms:created>
  <dcterms:modified xsi:type="dcterms:W3CDTF">2022-03-17T06:50:58Z</dcterms:modified>
</cp:coreProperties>
</file>